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style1.xml" ContentType="application/vnd.ms-office.chartstyle+xml"/>
  <Override PartName="/xl/charts/colors1.xml" ContentType="application/vnd.ms-office.chartcolorstyle+xml"/>
  <Override PartName="/xl/drawings/drawing1.xml" ContentType="application/vnd.openxmlformats-officedocument.drawing+xml"/>
  <Override PartName="/xl/charts/chart1.xml" ContentType="application/vnd.openxmlformats-officedocument.drawingml.chart+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worldbankgroup-my.sharepoint.com/personal/acastro2_worldbank_org/Documents/ABC/COVID Fin Ass Tool/Decision Note/"/>
    </mc:Choice>
  </mc:AlternateContent>
  <xr:revisionPtr revIDLastSave="0" documentId="8_{995F6476-74EF-4BCA-906B-DC88D050C528}" xr6:coauthVersionLast="44" xr6:coauthVersionMax="44" xr10:uidLastSave="{00000000-0000-0000-0000-000000000000}"/>
  <bookViews>
    <workbookView xWindow="-120" yWindow="-120" windowWidth="29040" windowHeight="15840" firstSheet="1" activeTab="1" xr2:uid="{5116DD8F-A0A8-4580-A7D9-C05B376C3B94}"/>
  </bookViews>
  <sheets>
    <sheet name="Target catchments" sheetId="18" state="hidden" r:id="rId1"/>
    <sheet name="Covid Impact Assessment" sheetId="24" r:id="rId2"/>
    <sheet name="Revenue and Cost Build-Up" sheetId="31" r:id="rId3"/>
    <sheet name="VlookUp" sheetId="30" r:id="rId4"/>
  </sheets>
  <definedNames>
    <definedName name="month">VlookUp!$A$1:$B$12</definedName>
    <definedName name="months">VlookUp!$A$1:$B$30</definedName>
    <definedName name="_xlnm.Print_Area" localSheetId="1">'Covid Impact Assessment'!$B$2:$S$68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31" l="1"/>
  <c r="F26" i="31"/>
  <c r="G26" i="31"/>
  <c r="H26" i="31"/>
  <c r="I26" i="31"/>
  <c r="J26" i="31"/>
  <c r="K26" i="31"/>
  <c r="L26" i="31"/>
  <c r="M26" i="31"/>
  <c r="M27" i="31"/>
  <c r="B23" i="31"/>
  <c r="M28" i="31"/>
  <c r="L27" i="31"/>
  <c r="L28" i="31"/>
  <c r="K27" i="31"/>
  <c r="K28" i="31"/>
  <c r="J27" i="31"/>
  <c r="J28" i="31"/>
  <c r="I27" i="31"/>
  <c r="I28" i="31"/>
  <c r="H27" i="31"/>
  <c r="H28" i="31"/>
  <c r="G27" i="31"/>
  <c r="G28" i="31"/>
  <c r="F27" i="31"/>
  <c r="F28" i="31"/>
  <c r="E27" i="31"/>
  <c r="E28" i="31"/>
  <c r="D28" i="31"/>
  <c r="C28" i="31"/>
  <c r="B28" i="31"/>
  <c r="G15" i="31"/>
  <c r="H15" i="31"/>
  <c r="I15" i="31"/>
  <c r="J15" i="31"/>
  <c r="K15" i="31"/>
  <c r="L15" i="31"/>
  <c r="M16" i="31"/>
  <c r="B8" i="31"/>
  <c r="M13" i="31"/>
  <c r="M37" i="31"/>
  <c r="M44" i="31"/>
  <c r="L16" i="31"/>
  <c r="L13" i="31"/>
  <c r="L37" i="31"/>
  <c r="L44" i="31"/>
  <c r="K16" i="31"/>
  <c r="K13" i="31"/>
  <c r="K37" i="31"/>
  <c r="K44" i="31"/>
  <c r="J16" i="31"/>
  <c r="J13" i="31"/>
  <c r="J37" i="31"/>
  <c r="J44" i="31"/>
  <c r="I16" i="31"/>
  <c r="I13" i="31"/>
  <c r="I37" i="31"/>
  <c r="I44" i="31"/>
  <c r="H16" i="31"/>
  <c r="H13" i="31"/>
  <c r="H37" i="31"/>
  <c r="H44" i="31"/>
  <c r="G16" i="31"/>
  <c r="G13" i="31"/>
  <c r="G37" i="31"/>
  <c r="G44" i="31"/>
  <c r="F13" i="31"/>
  <c r="F37" i="31"/>
  <c r="F44" i="31"/>
  <c r="E13" i="31"/>
  <c r="E37" i="31"/>
  <c r="E44" i="31"/>
  <c r="D13" i="31"/>
  <c r="D37" i="31"/>
  <c r="D44" i="31"/>
  <c r="C13" i="31"/>
  <c r="C37" i="31"/>
  <c r="C44" i="31"/>
  <c r="O52" i="24"/>
  <c r="N52" i="24"/>
  <c r="M52" i="24"/>
  <c r="L52" i="24"/>
  <c r="K52" i="24"/>
  <c r="J52" i="24"/>
  <c r="I52" i="24"/>
  <c r="H52" i="24"/>
  <c r="G52" i="24"/>
  <c r="F52" i="24"/>
  <c r="E52" i="24"/>
  <c r="D52" i="24"/>
  <c r="C52" i="24"/>
  <c r="B31" i="31"/>
  <c r="B16" i="31"/>
  <c r="B36" i="31"/>
  <c r="B35" i="31"/>
  <c r="B53" i="31"/>
  <c r="B56" i="31"/>
  <c r="B97" i="31"/>
  <c r="B91" i="31"/>
  <c r="B101" i="31"/>
  <c r="B102" i="31"/>
  <c r="B57" i="31"/>
  <c r="C57" i="31"/>
  <c r="D57" i="31"/>
  <c r="E57" i="31"/>
  <c r="F57" i="31"/>
  <c r="G57" i="31"/>
  <c r="H57" i="31"/>
  <c r="I57" i="31"/>
  <c r="J57" i="31"/>
  <c r="K57" i="31"/>
  <c r="L57" i="31"/>
  <c r="M53" i="31"/>
  <c r="L53" i="31"/>
  <c r="K53" i="31"/>
  <c r="J53" i="31"/>
  <c r="I53" i="31"/>
  <c r="H53" i="31"/>
  <c r="G53" i="31"/>
  <c r="F53" i="31"/>
  <c r="E53" i="31"/>
  <c r="M57" i="31"/>
  <c r="C53" i="31"/>
  <c r="B30" i="31"/>
  <c r="C31" i="31"/>
  <c r="B15" i="31"/>
  <c r="C16" i="31"/>
  <c r="C36" i="31"/>
  <c r="C35" i="31"/>
  <c r="C38" i="31"/>
  <c r="C39" i="31"/>
  <c r="C40" i="31"/>
  <c r="B11" i="31"/>
  <c r="C11" i="31"/>
  <c r="C12" i="31"/>
  <c r="B38" i="31"/>
  <c r="B39" i="31"/>
  <c r="B40" i="31"/>
  <c r="B12" i="31"/>
  <c r="B13" i="31"/>
  <c r="B43" i="31"/>
  <c r="M43" i="31"/>
  <c r="L43" i="31"/>
  <c r="K43" i="31"/>
  <c r="J43" i="31"/>
  <c r="I43" i="31"/>
  <c r="H43" i="31"/>
  <c r="G43" i="31"/>
  <c r="F43" i="31"/>
  <c r="E43" i="31"/>
  <c r="D43" i="31"/>
  <c r="C43" i="31"/>
  <c r="C15" i="31"/>
  <c r="D15" i="31"/>
  <c r="E15" i="31"/>
  <c r="F15" i="31"/>
  <c r="C30" i="31"/>
  <c r="D30" i="31"/>
  <c r="E30" i="31"/>
  <c r="F30" i="31"/>
  <c r="G30" i="31"/>
  <c r="H30" i="31"/>
  <c r="I30" i="31"/>
  <c r="J30" i="31"/>
  <c r="K30" i="31"/>
  <c r="L30" i="31"/>
  <c r="M31" i="31"/>
  <c r="M36" i="31"/>
  <c r="M35" i="31"/>
  <c r="M38" i="31"/>
  <c r="M39" i="31"/>
  <c r="M40" i="31"/>
  <c r="D11" i="31"/>
  <c r="E11" i="31"/>
  <c r="F11" i="31"/>
  <c r="G11" i="31"/>
  <c r="H11" i="31"/>
  <c r="I11" i="31"/>
  <c r="J11" i="31"/>
  <c r="K11" i="31"/>
  <c r="L11" i="31"/>
  <c r="M11" i="31"/>
  <c r="M12" i="31"/>
  <c r="L31" i="31"/>
  <c r="L36" i="31"/>
  <c r="L35" i="31"/>
  <c r="L38" i="31"/>
  <c r="L39" i="31"/>
  <c r="L40" i="31"/>
  <c r="L12" i="31"/>
  <c r="K31" i="31"/>
  <c r="K36" i="31"/>
  <c r="K35" i="31"/>
  <c r="K38" i="31"/>
  <c r="K39" i="31"/>
  <c r="K40" i="31"/>
  <c r="K12" i="31"/>
  <c r="J31" i="31"/>
  <c r="J36" i="31"/>
  <c r="J35" i="31"/>
  <c r="J38" i="31"/>
  <c r="J39" i="31"/>
  <c r="J40" i="31"/>
  <c r="J12" i="31"/>
  <c r="I31" i="31"/>
  <c r="I36" i="31"/>
  <c r="I35" i="31"/>
  <c r="I38" i="31"/>
  <c r="I39" i="31"/>
  <c r="I40" i="31"/>
  <c r="I12" i="31"/>
  <c r="H31" i="31"/>
  <c r="H36" i="31"/>
  <c r="H35" i="31"/>
  <c r="H38" i="31"/>
  <c r="H39" i="31"/>
  <c r="H40" i="31"/>
  <c r="H12" i="31"/>
  <c r="G31" i="31"/>
  <c r="G36" i="31"/>
  <c r="G35" i="31"/>
  <c r="G38" i="31"/>
  <c r="G39" i="31"/>
  <c r="G40" i="31"/>
  <c r="G12" i="31"/>
  <c r="F16" i="31"/>
  <c r="F31" i="31"/>
  <c r="F36" i="31"/>
  <c r="F35" i="31"/>
  <c r="F38" i="31"/>
  <c r="F39" i="31"/>
  <c r="F40" i="31"/>
  <c r="F12" i="31"/>
  <c r="E16" i="31"/>
  <c r="E31" i="31"/>
  <c r="E36" i="31"/>
  <c r="E35" i="31"/>
  <c r="E38" i="31"/>
  <c r="E39" i="31"/>
  <c r="E40" i="31"/>
  <c r="E12" i="31"/>
  <c r="D16" i="31"/>
  <c r="D31" i="31"/>
  <c r="D36" i="31"/>
  <c r="D35" i="31"/>
  <c r="D38" i="31"/>
  <c r="D39" i="31"/>
  <c r="D40" i="31"/>
  <c r="D12" i="31"/>
  <c r="B32" i="31"/>
  <c r="C32" i="31"/>
  <c r="C56" i="31"/>
  <c r="B50" i="31"/>
  <c r="C50" i="31"/>
  <c r="C51" i="31"/>
  <c r="C52" i="31"/>
  <c r="C58" i="31"/>
  <c r="E12" i="24"/>
  <c r="E11" i="24"/>
  <c r="C59" i="31"/>
  <c r="E15" i="24"/>
  <c r="E16" i="24"/>
  <c r="C64" i="31"/>
  <c r="C66" i="31"/>
  <c r="E25" i="24"/>
  <c r="C68" i="31"/>
  <c r="C70" i="31"/>
  <c r="E26" i="24"/>
  <c r="C73" i="31"/>
  <c r="E27" i="24"/>
  <c r="C79" i="31"/>
  <c r="C81" i="31"/>
  <c r="C83" i="31"/>
  <c r="E24" i="24"/>
  <c r="E28" i="24"/>
  <c r="E29" i="24"/>
  <c r="E30" i="24"/>
  <c r="C97" i="31"/>
  <c r="E35" i="24"/>
  <c r="C91" i="31"/>
  <c r="C93" i="31"/>
  <c r="C95" i="31"/>
  <c r="E34" i="24"/>
  <c r="E36" i="24"/>
  <c r="E37" i="24"/>
  <c r="E38" i="24"/>
  <c r="E39" i="24"/>
  <c r="E40" i="24"/>
  <c r="D50" i="31"/>
  <c r="D51" i="31"/>
  <c r="D52" i="31"/>
  <c r="F11" i="24"/>
  <c r="D59" i="31"/>
  <c r="F15" i="24"/>
  <c r="F16" i="24"/>
  <c r="D64" i="31"/>
  <c r="D66" i="31"/>
  <c r="F25" i="24"/>
  <c r="D68" i="31"/>
  <c r="D70" i="31"/>
  <c r="F26" i="24"/>
  <c r="D73" i="31"/>
  <c r="F27" i="24"/>
  <c r="D79" i="31"/>
  <c r="D81" i="31"/>
  <c r="D83" i="31"/>
  <c r="F24" i="24"/>
  <c r="F28" i="24"/>
  <c r="F29" i="24"/>
  <c r="F30" i="24"/>
  <c r="D91" i="31"/>
  <c r="D93" i="31"/>
  <c r="D95" i="31"/>
  <c r="F34" i="24"/>
  <c r="F36" i="24"/>
  <c r="F37" i="24"/>
  <c r="F38" i="24"/>
  <c r="F40" i="24"/>
  <c r="E50" i="31"/>
  <c r="E51" i="31"/>
  <c r="E52" i="31"/>
  <c r="G11" i="24"/>
  <c r="E59" i="31"/>
  <c r="G15" i="24"/>
  <c r="G16" i="24"/>
  <c r="E64" i="31"/>
  <c r="E66" i="31"/>
  <c r="G25" i="24"/>
  <c r="E68" i="31"/>
  <c r="E70" i="31"/>
  <c r="G26" i="24"/>
  <c r="E73" i="31"/>
  <c r="G27" i="24"/>
  <c r="E79" i="31"/>
  <c r="E81" i="31"/>
  <c r="E83" i="31"/>
  <c r="G24" i="24"/>
  <c r="G28" i="24"/>
  <c r="G29" i="24"/>
  <c r="G30" i="24"/>
  <c r="E91" i="31"/>
  <c r="E93" i="31"/>
  <c r="E95" i="31"/>
  <c r="G34" i="24"/>
  <c r="G36" i="24"/>
  <c r="G37" i="24"/>
  <c r="G38" i="24"/>
  <c r="G40" i="24"/>
  <c r="F50" i="31"/>
  <c r="F51" i="31"/>
  <c r="F52" i="31"/>
  <c r="H11" i="24"/>
  <c r="F59" i="31"/>
  <c r="H15" i="24"/>
  <c r="H16" i="24"/>
  <c r="F64" i="31"/>
  <c r="F66" i="31"/>
  <c r="H25" i="24"/>
  <c r="F68" i="31"/>
  <c r="F70" i="31"/>
  <c r="H26" i="24"/>
  <c r="F73" i="31"/>
  <c r="H27" i="24"/>
  <c r="F79" i="31"/>
  <c r="F81" i="31"/>
  <c r="F83" i="31"/>
  <c r="H24" i="24"/>
  <c r="H28" i="24"/>
  <c r="H29" i="24"/>
  <c r="H30" i="24"/>
  <c r="F91" i="31"/>
  <c r="F93" i="31"/>
  <c r="F95" i="31"/>
  <c r="H34" i="24"/>
  <c r="H36" i="24"/>
  <c r="H37" i="24"/>
  <c r="H38" i="24"/>
  <c r="H40" i="24"/>
  <c r="G50" i="31"/>
  <c r="G51" i="31"/>
  <c r="G52" i="31"/>
  <c r="I11" i="24"/>
  <c r="G59" i="31"/>
  <c r="I15" i="24"/>
  <c r="I16" i="24"/>
  <c r="G64" i="31"/>
  <c r="G66" i="31"/>
  <c r="I25" i="24"/>
  <c r="G68" i="31"/>
  <c r="G70" i="31"/>
  <c r="I26" i="24"/>
  <c r="G73" i="31"/>
  <c r="I27" i="24"/>
  <c r="G79" i="31"/>
  <c r="G81" i="31"/>
  <c r="G83" i="31"/>
  <c r="I24" i="24"/>
  <c r="I28" i="24"/>
  <c r="I29" i="24"/>
  <c r="I30" i="24"/>
  <c r="G91" i="31"/>
  <c r="G93" i="31"/>
  <c r="G95" i="31"/>
  <c r="I34" i="24"/>
  <c r="I36" i="24"/>
  <c r="I37" i="24"/>
  <c r="I38" i="24"/>
  <c r="I40" i="24"/>
  <c r="H50" i="31"/>
  <c r="H51" i="31"/>
  <c r="H52" i="31"/>
  <c r="J11" i="24"/>
  <c r="H59" i="31"/>
  <c r="J15" i="24"/>
  <c r="J16" i="24"/>
  <c r="H64" i="31"/>
  <c r="H66" i="31"/>
  <c r="J25" i="24"/>
  <c r="H68" i="31"/>
  <c r="H70" i="31"/>
  <c r="J26" i="24"/>
  <c r="H73" i="31"/>
  <c r="J27" i="24"/>
  <c r="H79" i="31"/>
  <c r="H81" i="31"/>
  <c r="H83" i="31"/>
  <c r="J24" i="24"/>
  <c r="J28" i="24"/>
  <c r="J29" i="24"/>
  <c r="J30" i="24"/>
  <c r="H91" i="31"/>
  <c r="H93" i="31"/>
  <c r="H95" i="31"/>
  <c r="J34" i="24"/>
  <c r="J36" i="24"/>
  <c r="J37" i="24"/>
  <c r="J38" i="24"/>
  <c r="J40" i="24"/>
  <c r="I50" i="31"/>
  <c r="I51" i="31"/>
  <c r="I52" i="31"/>
  <c r="K11" i="24"/>
  <c r="I59" i="31"/>
  <c r="K15" i="24"/>
  <c r="K16" i="24"/>
  <c r="I64" i="31"/>
  <c r="I66" i="31"/>
  <c r="K25" i="24"/>
  <c r="I68" i="31"/>
  <c r="I70" i="31"/>
  <c r="K26" i="24"/>
  <c r="I73" i="31"/>
  <c r="K27" i="24"/>
  <c r="I79" i="31"/>
  <c r="I81" i="31"/>
  <c r="I83" i="31"/>
  <c r="K24" i="24"/>
  <c r="K28" i="24"/>
  <c r="K29" i="24"/>
  <c r="K30" i="24"/>
  <c r="I91" i="31"/>
  <c r="I93" i="31"/>
  <c r="I95" i="31"/>
  <c r="K34" i="24"/>
  <c r="K36" i="24"/>
  <c r="K37" i="24"/>
  <c r="K38" i="24"/>
  <c r="K40" i="24"/>
  <c r="J50" i="31"/>
  <c r="J51" i="31"/>
  <c r="J52" i="31"/>
  <c r="L11" i="24"/>
  <c r="J59" i="31"/>
  <c r="L15" i="24"/>
  <c r="L16" i="24"/>
  <c r="J64" i="31"/>
  <c r="J66" i="31"/>
  <c r="L25" i="24"/>
  <c r="J68" i="31"/>
  <c r="J70" i="31"/>
  <c r="L26" i="24"/>
  <c r="J73" i="31"/>
  <c r="L27" i="24"/>
  <c r="J79" i="31"/>
  <c r="J81" i="31"/>
  <c r="J83" i="31"/>
  <c r="L24" i="24"/>
  <c r="L28" i="24"/>
  <c r="L29" i="24"/>
  <c r="L30" i="24"/>
  <c r="J91" i="31"/>
  <c r="J93" i="31"/>
  <c r="J95" i="31"/>
  <c r="L34" i="24"/>
  <c r="L36" i="24"/>
  <c r="L37" i="24"/>
  <c r="L38" i="24"/>
  <c r="L40" i="24"/>
  <c r="K50" i="31"/>
  <c r="K51" i="31"/>
  <c r="K52" i="31"/>
  <c r="M11" i="24"/>
  <c r="K59" i="31"/>
  <c r="M15" i="24"/>
  <c r="M16" i="24"/>
  <c r="K64" i="31"/>
  <c r="K66" i="31"/>
  <c r="M25" i="24"/>
  <c r="K68" i="31"/>
  <c r="K70" i="31"/>
  <c r="M26" i="24"/>
  <c r="K73" i="31"/>
  <c r="M27" i="24"/>
  <c r="K79" i="31"/>
  <c r="K81" i="31"/>
  <c r="K83" i="31"/>
  <c r="M24" i="24"/>
  <c r="M28" i="24"/>
  <c r="M29" i="24"/>
  <c r="M30" i="24"/>
  <c r="K91" i="31"/>
  <c r="K93" i="31"/>
  <c r="K95" i="31"/>
  <c r="M34" i="24"/>
  <c r="M36" i="24"/>
  <c r="M37" i="24"/>
  <c r="M38" i="24"/>
  <c r="M40" i="24"/>
  <c r="L50" i="31"/>
  <c r="L51" i="31"/>
  <c r="L52" i="31"/>
  <c r="N11" i="24"/>
  <c r="L59" i="31"/>
  <c r="N15" i="24"/>
  <c r="N16" i="24"/>
  <c r="L64" i="31"/>
  <c r="L66" i="31"/>
  <c r="N25" i="24"/>
  <c r="L68" i="31"/>
  <c r="L70" i="31"/>
  <c r="N26" i="24"/>
  <c r="L73" i="31"/>
  <c r="N27" i="24"/>
  <c r="L79" i="31"/>
  <c r="L81" i="31"/>
  <c r="L83" i="31"/>
  <c r="N24" i="24"/>
  <c r="N28" i="24"/>
  <c r="N29" i="24"/>
  <c r="N30" i="24"/>
  <c r="L91" i="31"/>
  <c r="L93" i="31"/>
  <c r="L95" i="31"/>
  <c r="N34" i="24"/>
  <c r="N36" i="24"/>
  <c r="N37" i="24"/>
  <c r="N38" i="24"/>
  <c r="N40" i="24"/>
  <c r="M50" i="31"/>
  <c r="M51" i="31"/>
  <c r="M52" i="31"/>
  <c r="O11" i="24"/>
  <c r="M59" i="31"/>
  <c r="O15" i="24"/>
  <c r="O16" i="24"/>
  <c r="M64" i="31"/>
  <c r="M66" i="31"/>
  <c r="O25" i="24"/>
  <c r="M68" i="31"/>
  <c r="M70" i="31"/>
  <c r="O26" i="24"/>
  <c r="M73" i="31"/>
  <c r="O27" i="24"/>
  <c r="M79" i="31"/>
  <c r="M81" i="31"/>
  <c r="M83" i="31"/>
  <c r="O24" i="24"/>
  <c r="O28" i="24"/>
  <c r="O29" i="24"/>
  <c r="O30" i="24"/>
  <c r="M91" i="31"/>
  <c r="M93" i="31"/>
  <c r="M95" i="31"/>
  <c r="O34" i="24"/>
  <c r="O36" i="24"/>
  <c r="O37" i="24"/>
  <c r="O38" i="24"/>
  <c r="O40" i="24"/>
  <c r="B51" i="31"/>
  <c r="B52" i="31"/>
  <c r="B58" i="31"/>
  <c r="D12" i="24"/>
  <c r="B59" i="31"/>
  <c r="D15" i="24"/>
  <c r="D16" i="24"/>
  <c r="B64" i="31"/>
  <c r="B66" i="31"/>
  <c r="D25" i="24"/>
  <c r="B68" i="31"/>
  <c r="B70" i="31"/>
  <c r="D26" i="24"/>
  <c r="B73" i="31"/>
  <c r="D27" i="24"/>
  <c r="B79" i="31"/>
  <c r="B81" i="31"/>
  <c r="B83" i="31"/>
  <c r="D24" i="24"/>
  <c r="D28" i="24"/>
  <c r="D29" i="24"/>
  <c r="D30" i="24"/>
  <c r="D35" i="24"/>
  <c r="B93" i="31"/>
  <c r="B95" i="31"/>
  <c r="D34" i="24"/>
  <c r="D36" i="24"/>
  <c r="D37" i="24"/>
  <c r="D38" i="24"/>
  <c r="D40" i="24"/>
  <c r="C32" i="24"/>
  <c r="C39" i="24"/>
  <c r="C41" i="24"/>
  <c r="C17" i="24"/>
  <c r="P17" i="24"/>
  <c r="P52" i="24"/>
  <c r="O9" i="24"/>
  <c r="M5" i="31"/>
  <c r="M61" i="31"/>
  <c r="M87" i="31"/>
  <c r="N9" i="24"/>
  <c r="N22" i="24"/>
  <c r="N50" i="24"/>
  <c r="N62" i="24"/>
  <c r="M9" i="24"/>
  <c r="M22" i="24"/>
  <c r="M50" i="24"/>
  <c r="M62" i="24"/>
  <c r="L9" i="24"/>
  <c r="L22" i="24"/>
  <c r="L50" i="24"/>
  <c r="L62" i="24"/>
  <c r="K9" i="24"/>
  <c r="I5" i="31"/>
  <c r="I61" i="31"/>
  <c r="I87" i="31"/>
  <c r="J9" i="24"/>
  <c r="J22" i="24"/>
  <c r="J50" i="24"/>
  <c r="J62" i="24"/>
  <c r="I9" i="24"/>
  <c r="I22" i="24"/>
  <c r="I50" i="24"/>
  <c r="I62" i="24"/>
  <c r="H9" i="24"/>
  <c r="H22" i="24"/>
  <c r="H50" i="24"/>
  <c r="H62" i="24"/>
  <c r="G9" i="24"/>
  <c r="E5" i="31"/>
  <c r="E61" i="31"/>
  <c r="E87" i="31"/>
  <c r="F9" i="24"/>
  <c r="F22" i="24"/>
  <c r="F50" i="24"/>
  <c r="F62" i="24"/>
  <c r="E9" i="24"/>
  <c r="E22" i="24"/>
  <c r="E50" i="24"/>
  <c r="E62" i="24"/>
  <c r="D9" i="24"/>
  <c r="D22" i="24"/>
  <c r="D50" i="24"/>
  <c r="D62" i="24"/>
  <c r="C9" i="24"/>
  <c r="C22" i="24"/>
  <c r="C50" i="24"/>
  <c r="C62" i="24"/>
  <c r="Q43" i="24"/>
  <c r="P43" i="24"/>
  <c r="R43" i="24"/>
  <c r="P34" i="24"/>
  <c r="P39" i="24"/>
  <c r="P35" i="24"/>
  <c r="P36" i="24"/>
  <c r="P37" i="24"/>
  <c r="P38" i="24"/>
  <c r="B40" i="24"/>
  <c r="B38" i="24"/>
  <c r="B37" i="24"/>
  <c r="B36" i="24"/>
  <c r="B35" i="24"/>
  <c r="D31" i="24"/>
  <c r="E31" i="24"/>
  <c r="F31" i="24"/>
  <c r="G31" i="24"/>
  <c r="H31" i="24"/>
  <c r="I31" i="24"/>
  <c r="J31" i="24"/>
  <c r="K31" i="24"/>
  <c r="L31" i="24"/>
  <c r="M31" i="24"/>
  <c r="N31" i="24"/>
  <c r="O31" i="24"/>
  <c r="P31" i="24"/>
  <c r="B31" i="24"/>
  <c r="B24" i="24"/>
  <c r="B34" i="24"/>
  <c r="P32" i="24"/>
  <c r="P29" i="24"/>
  <c r="P28" i="24"/>
  <c r="B29" i="24"/>
  <c r="B28" i="24"/>
  <c r="P27" i="24"/>
  <c r="P26" i="24"/>
  <c r="B27" i="24"/>
  <c r="B26" i="24"/>
  <c r="P25" i="24"/>
  <c r="B25" i="24"/>
  <c r="P16" i="24"/>
  <c r="P15" i="24"/>
  <c r="P12" i="24"/>
  <c r="B4" i="31"/>
  <c r="B45" i="31"/>
  <c r="K5" i="31"/>
  <c r="K61" i="31"/>
  <c r="K87" i="31"/>
  <c r="C5" i="31"/>
  <c r="C61" i="31"/>
  <c r="C87" i="31"/>
  <c r="M15" i="31"/>
  <c r="M30" i="31"/>
  <c r="A46" i="31"/>
  <c r="B42" i="31"/>
  <c r="C42" i="31"/>
  <c r="D42" i="31"/>
  <c r="E42" i="31"/>
  <c r="F42" i="31"/>
  <c r="G42" i="31"/>
  <c r="H42" i="31"/>
  <c r="I42" i="31"/>
  <c r="J42" i="31"/>
  <c r="K42" i="31"/>
  <c r="L42" i="31"/>
  <c r="M42" i="31"/>
  <c r="M41" i="31"/>
  <c r="L41" i="31"/>
  <c r="K41" i="31"/>
  <c r="J41" i="31"/>
  <c r="I41" i="31"/>
  <c r="H41" i="31"/>
  <c r="G41" i="31"/>
  <c r="F41" i="31"/>
  <c r="E41" i="31"/>
  <c r="D41" i="31"/>
  <c r="B41" i="31"/>
  <c r="M32" i="31"/>
  <c r="L32" i="31"/>
  <c r="K32" i="31"/>
  <c r="J32" i="31"/>
  <c r="I32" i="31"/>
  <c r="H32" i="31"/>
  <c r="G32" i="31"/>
  <c r="F32" i="31"/>
  <c r="E32" i="31"/>
  <c r="D32" i="31"/>
  <c r="B26" i="31"/>
  <c r="C26" i="31"/>
  <c r="D26" i="31"/>
  <c r="D27" i="31"/>
  <c r="C27" i="31"/>
  <c r="B27" i="31"/>
  <c r="M17" i="31"/>
  <c r="L17" i="31"/>
  <c r="K17" i="31"/>
  <c r="J17" i="31"/>
  <c r="I17" i="31"/>
  <c r="H17" i="31"/>
  <c r="G17" i="31"/>
  <c r="F17" i="31"/>
  <c r="E17" i="31"/>
  <c r="D17" i="31"/>
  <c r="C17" i="31"/>
  <c r="B17" i="31"/>
  <c r="D68" i="24"/>
  <c r="D56" i="24"/>
  <c r="E68" i="24"/>
  <c r="E56" i="24"/>
  <c r="F68" i="24"/>
  <c r="F56" i="24"/>
  <c r="G68" i="24"/>
  <c r="G56" i="24"/>
  <c r="H68" i="24"/>
  <c r="H56" i="24"/>
  <c r="I68" i="24"/>
  <c r="I56" i="24"/>
  <c r="J68" i="24"/>
  <c r="J56" i="24"/>
  <c r="K68" i="24"/>
  <c r="K56" i="24"/>
  <c r="L68" i="24"/>
  <c r="L56" i="24"/>
  <c r="M68" i="24"/>
  <c r="M56" i="24"/>
  <c r="N68" i="24"/>
  <c r="N56" i="24"/>
  <c r="O56" i="24"/>
  <c r="C68" i="24"/>
  <c r="C56" i="24"/>
  <c r="P56" i="24"/>
  <c r="Q57" i="24"/>
  <c r="R57" i="24"/>
  <c r="P57" i="24"/>
  <c r="Q67" i="24"/>
  <c r="P67" i="24"/>
  <c r="R67" i="24"/>
  <c r="P66" i="24"/>
  <c r="P65" i="24"/>
  <c r="R65" i="24"/>
  <c r="Q65" i="24"/>
  <c r="P64" i="24"/>
  <c r="P63" i="24"/>
  <c r="Q66" i="24"/>
  <c r="R66" i="24"/>
  <c r="Q64" i="24"/>
  <c r="R64" i="24"/>
  <c r="Q63" i="24"/>
  <c r="R63" i="24"/>
  <c r="P54" i="24"/>
  <c r="Q54" i="24"/>
  <c r="B51" i="24"/>
  <c r="P46" i="24"/>
  <c r="Q46" i="24"/>
  <c r="R46" i="24"/>
  <c r="P42" i="24"/>
  <c r="Q42" i="24"/>
  <c r="P40" i="24"/>
  <c r="P30" i="24"/>
  <c r="P24" i="24"/>
  <c r="Q40" i="24"/>
  <c r="R40" i="24"/>
  <c r="P18" i="24"/>
  <c r="P14" i="24"/>
  <c r="P11" i="24"/>
  <c r="Q18" i="24"/>
  <c r="R18" i="24"/>
  <c r="P68" i="24"/>
  <c r="R54" i="24"/>
  <c r="R42" i="24"/>
  <c r="E11" i="18"/>
  <c r="E14" i="18"/>
  <c r="E15" i="18"/>
  <c r="C101" i="31"/>
  <c r="C102" i="31"/>
  <c r="C41" i="31"/>
  <c r="D53" i="31"/>
  <c r="D56" i="31"/>
  <c r="D97" i="31"/>
  <c r="F35" i="24"/>
  <c r="F39" i="24"/>
  <c r="E56" i="31"/>
  <c r="E97" i="31"/>
  <c r="G35" i="24"/>
  <c r="F56" i="31"/>
  <c r="F97" i="31"/>
  <c r="H35" i="24"/>
  <c r="G56" i="31"/>
  <c r="G97" i="31"/>
  <c r="I35" i="24"/>
  <c r="H56" i="31"/>
  <c r="H97" i="31"/>
  <c r="J35" i="24"/>
  <c r="I56" i="31"/>
  <c r="I97" i="31"/>
  <c r="K35" i="24"/>
  <c r="K39" i="24"/>
  <c r="J56" i="31"/>
  <c r="J97" i="31"/>
  <c r="L35" i="24"/>
  <c r="K56" i="31"/>
  <c r="K97" i="31"/>
  <c r="M35" i="24"/>
  <c r="M39" i="24"/>
  <c r="L56" i="31"/>
  <c r="L97" i="31"/>
  <c r="N35" i="24"/>
  <c r="N39" i="24"/>
  <c r="M56" i="31"/>
  <c r="M97" i="31"/>
  <c r="O35" i="24"/>
  <c r="D58" i="31"/>
  <c r="F12" i="24"/>
  <c r="F14" i="24"/>
  <c r="F17" i="24"/>
  <c r="F19" i="24"/>
  <c r="E58" i="31"/>
  <c r="G12" i="24"/>
  <c r="G14" i="24"/>
  <c r="G17" i="24"/>
  <c r="G19" i="24"/>
  <c r="F58" i="31"/>
  <c r="H12" i="24"/>
  <c r="H14" i="24"/>
  <c r="G58" i="31"/>
  <c r="I12" i="24"/>
  <c r="I14" i="24"/>
  <c r="H58" i="31"/>
  <c r="J12" i="24"/>
  <c r="J14" i="24"/>
  <c r="J17" i="24"/>
  <c r="J19" i="24"/>
  <c r="I58" i="31"/>
  <c r="K12" i="24"/>
  <c r="K14" i="24"/>
  <c r="K17" i="24"/>
  <c r="K19" i="24"/>
  <c r="J58" i="31"/>
  <c r="L12" i="24"/>
  <c r="K58" i="31"/>
  <c r="M12" i="24"/>
  <c r="M14" i="24"/>
  <c r="L58" i="31"/>
  <c r="N12" i="24"/>
  <c r="N14" i="24"/>
  <c r="N17" i="24"/>
  <c r="N19" i="24"/>
  <c r="M58" i="31"/>
  <c r="O12" i="24"/>
  <c r="O14" i="24"/>
  <c r="O17" i="24"/>
  <c r="O19" i="24"/>
  <c r="M101" i="31"/>
  <c r="M102" i="31"/>
  <c r="L101" i="31"/>
  <c r="L102" i="31"/>
  <c r="K101" i="31"/>
  <c r="K102" i="31"/>
  <c r="J101" i="31"/>
  <c r="J102" i="31"/>
  <c r="I101" i="31"/>
  <c r="I102" i="31"/>
  <c r="H101" i="31"/>
  <c r="H102" i="31"/>
  <c r="G101" i="31"/>
  <c r="G102" i="31"/>
  <c r="F101" i="31"/>
  <c r="F102" i="31"/>
  <c r="E101" i="31"/>
  <c r="E102" i="31"/>
  <c r="D101" i="31"/>
  <c r="D102" i="31"/>
  <c r="B5" i="31"/>
  <c r="B21" i="31"/>
  <c r="B46" i="31"/>
  <c r="G5" i="31"/>
  <c r="G21" i="31"/>
  <c r="G46" i="31"/>
  <c r="H5" i="31"/>
  <c r="H21" i="31"/>
  <c r="H46" i="31"/>
  <c r="J5" i="31"/>
  <c r="J21" i="31"/>
  <c r="J46" i="31"/>
  <c r="C44" i="24"/>
  <c r="P41" i="24"/>
  <c r="P44" i="24"/>
  <c r="Q56" i="24"/>
  <c r="R56" i="24"/>
  <c r="H39" i="24"/>
  <c r="Q68" i="24"/>
  <c r="R68" i="24"/>
  <c r="Q34" i="24"/>
  <c r="R34" i="24"/>
  <c r="I17" i="24"/>
  <c r="I19" i="24"/>
  <c r="Q36" i="24"/>
  <c r="R36" i="24"/>
  <c r="H32" i="24"/>
  <c r="H41" i="24"/>
  <c r="H44" i="24"/>
  <c r="H17" i="24"/>
  <c r="H19" i="24"/>
  <c r="H45" i="24"/>
  <c r="H47" i="24"/>
  <c r="H51" i="24"/>
  <c r="H53" i="24"/>
  <c r="H55" i="24"/>
  <c r="H58" i="24"/>
  <c r="M17" i="24"/>
  <c r="M19" i="24"/>
  <c r="L39" i="24"/>
  <c r="Q37" i="24"/>
  <c r="R37" i="24"/>
  <c r="Q28" i="24"/>
  <c r="R28" i="24"/>
  <c r="L14" i="24"/>
  <c r="L17" i="24"/>
  <c r="L19" i="24"/>
  <c r="Q29" i="24"/>
  <c r="R29" i="24"/>
  <c r="Q26" i="24"/>
  <c r="R26" i="24"/>
  <c r="Q27" i="24"/>
  <c r="R27" i="24"/>
  <c r="Q16" i="24"/>
  <c r="R16" i="24"/>
  <c r="Q30" i="24"/>
  <c r="R30" i="24"/>
  <c r="E14" i="24"/>
  <c r="E17" i="24"/>
  <c r="E19" i="24"/>
  <c r="Q52" i="24"/>
  <c r="R52" i="24"/>
  <c r="O39" i="24"/>
  <c r="D39" i="24"/>
  <c r="I32" i="24"/>
  <c r="Q25" i="24"/>
  <c r="R25" i="24"/>
  <c r="J39" i="24"/>
  <c r="Q15" i="24"/>
  <c r="R15" i="24"/>
  <c r="J32" i="24"/>
  <c r="K32" i="24"/>
  <c r="K41" i="24"/>
  <c r="K44" i="24"/>
  <c r="K45" i="24"/>
  <c r="K47" i="24"/>
  <c r="K51" i="24"/>
  <c r="K53" i="24"/>
  <c r="K55" i="24"/>
  <c r="K58" i="24"/>
  <c r="L32" i="24"/>
  <c r="L41" i="24"/>
  <c r="L44" i="24"/>
  <c r="Q35" i="24"/>
  <c r="R35" i="24"/>
  <c r="Q31" i="24"/>
  <c r="R31" i="24"/>
  <c r="Q38" i="24"/>
  <c r="R38" i="24"/>
  <c r="M32" i="24"/>
  <c r="M41" i="24"/>
  <c r="M44" i="24"/>
  <c r="M45" i="24"/>
  <c r="M47" i="24"/>
  <c r="M51" i="24"/>
  <c r="M53" i="24"/>
  <c r="M55" i="24"/>
  <c r="M58" i="24"/>
  <c r="I39" i="24"/>
  <c r="Q24" i="24"/>
  <c r="R24" i="24"/>
  <c r="N32" i="24"/>
  <c r="N41" i="24"/>
  <c r="N44" i="24"/>
  <c r="N45" i="24"/>
  <c r="N47" i="24"/>
  <c r="N51" i="24"/>
  <c r="N53" i="24"/>
  <c r="N55" i="24"/>
  <c r="N58" i="24"/>
  <c r="F32" i="24"/>
  <c r="F41" i="24"/>
  <c r="F44" i="24"/>
  <c r="F45" i="24"/>
  <c r="F47" i="24"/>
  <c r="F51" i="24"/>
  <c r="F53" i="24"/>
  <c r="F55" i="24"/>
  <c r="F58" i="24"/>
  <c r="O32" i="24"/>
  <c r="G32" i="24"/>
  <c r="E32" i="24"/>
  <c r="E41" i="24"/>
  <c r="E44" i="24"/>
  <c r="E45" i="24"/>
  <c r="E47" i="24"/>
  <c r="E51" i="24"/>
  <c r="E53" i="24"/>
  <c r="E55" i="24"/>
  <c r="E58" i="24"/>
  <c r="C19" i="24"/>
  <c r="I41" i="24"/>
  <c r="I44" i="24"/>
  <c r="I45" i="24"/>
  <c r="I47" i="24"/>
  <c r="I51" i="24"/>
  <c r="I53" i="24"/>
  <c r="I55" i="24"/>
  <c r="I58" i="24"/>
  <c r="G39" i="24"/>
  <c r="G41" i="24"/>
  <c r="G44" i="24"/>
  <c r="G45" i="24"/>
  <c r="G47" i="24"/>
  <c r="G51" i="24"/>
  <c r="G53" i="24"/>
  <c r="G55" i="24"/>
  <c r="G58" i="24"/>
  <c r="K21" i="31"/>
  <c r="K46" i="31"/>
  <c r="G22" i="24"/>
  <c r="G50" i="24"/>
  <c r="G62" i="24"/>
  <c r="K22" i="24"/>
  <c r="K50" i="24"/>
  <c r="K62" i="24"/>
  <c r="O22" i="24"/>
  <c r="O50" i="24"/>
  <c r="O62" i="24"/>
  <c r="D5" i="31"/>
  <c r="D21" i="31"/>
  <c r="D46" i="31"/>
  <c r="L5" i="31"/>
  <c r="L21" i="31"/>
  <c r="L46" i="31"/>
  <c r="D32" i="24"/>
  <c r="F5" i="31"/>
  <c r="F21" i="31"/>
  <c r="F46" i="31"/>
  <c r="Q12" i="24"/>
  <c r="R12" i="24"/>
  <c r="O41" i="24"/>
  <c r="O44" i="24"/>
  <c r="O45" i="24"/>
  <c r="O47" i="24"/>
  <c r="O51" i="24"/>
  <c r="O53" i="24"/>
  <c r="O55" i="24"/>
  <c r="O58" i="24"/>
  <c r="L45" i="24"/>
  <c r="L47" i="24"/>
  <c r="L51" i="24"/>
  <c r="L53" i="24"/>
  <c r="L55" i="24"/>
  <c r="L58" i="24"/>
  <c r="J41" i="24"/>
  <c r="J44" i="24"/>
  <c r="J45" i="24"/>
  <c r="J47" i="24"/>
  <c r="J51" i="24"/>
  <c r="J53" i="24"/>
  <c r="J55" i="24"/>
  <c r="J58" i="24"/>
  <c r="C45" i="24"/>
  <c r="C47" i="24"/>
  <c r="P19" i="24"/>
  <c r="P45" i="24"/>
  <c r="D61" i="31"/>
  <c r="D87" i="31"/>
  <c r="D41" i="24"/>
  <c r="Q32" i="24"/>
  <c r="R32" i="24"/>
  <c r="C51" i="24"/>
  <c r="P47" i="24"/>
  <c r="D44" i="24"/>
  <c r="Q41" i="24"/>
  <c r="C53" i="24"/>
  <c r="P51" i="24"/>
  <c r="R41" i="24"/>
  <c r="R44" i="24"/>
  <c r="Q44" i="24"/>
  <c r="P53" i="24"/>
  <c r="C55" i="24"/>
  <c r="C58" i="24"/>
  <c r="P58" i="24"/>
  <c r="P55" i="24"/>
  <c r="B61" i="31"/>
  <c r="B87" i="31"/>
  <c r="I21" i="31"/>
  <c r="I46" i="31"/>
  <c r="C21" i="31"/>
  <c r="C46" i="31"/>
  <c r="F61" i="31"/>
  <c r="F87" i="31"/>
  <c r="G61" i="31"/>
  <c r="G87" i="31"/>
  <c r="E21" i="31"/>
  <c r="E46" i="31"/>
  <c r="L61" i="31"/>
  <c r="L87" i="31"/>
  <c r="J61" i="31"/>
  <c r="J87" i="31"/>
  <c r="H61" i="31"/>
  <c r="H87" i="31"/>
  <c r="B20" i="31"/>
  <c r="M21" i="31"/>
  <c r="M46" i="31"/>
  <c r="B37" i="31"/>
  <c r="B44" i="31"/>
  <c r="D11" i="24"/>
  <c r="D14" i="24"/>
  <c r="Q14" i="24"/>
  <c r="R14" i="24"/>
  <c r="Q11" i="24"/>
  <c r="R11" i="24"/>
  <c r="D17" i="24"/>
  <c r="Q17" i="24"/>
  <c r="R17" i="24"/>
  <c r="D19" i="24"/>
  <c r="D45" i="24"/>
  <c r="D47" i="24"/>
  <c r="Q47" i="24"/>
  <c r="R47" i="24"/>
  <c r="Q19" i="24"/>
  <c r="Q45" i="24"/>
  <c r="R19" i="24"/>
  <c r="R45" i="24"/>
  <c r="D51" i="24"/>
  <c r="Q51" i="24"/>
  <c r="R51" i="24"/>
  <c r="D53" i="24"/>
  <c r="Q53" i="24"/>
  <c r="R53" i="24"/>
  <c r="D55" i="24"/>
  <c r="D58" i="24"/>
  <c r="Q58" i="24"/>
  <c r="R58" i="24"/>
  <c r="Q55" i="24"/>
  <c r="R55" i="24"/>
</calcChain>
</file>

<file path=xl/sharedStrings.xml><?xml version="1.0" encoding="utf-8"?>
<sst xmlns="http://schemas.openxmlformats.org/spreadsheetml/2006/main" count="263" uniqueCount="194">
  <si>
    <t>Catchment</t>
  </si>
  <si>
    <t>District</t>
  </si>
  <si>
    <t>Average Area per VLAP (ha)</t>
  </si>
  <si>
    <t>Upper Lisungwe</t>
  </si>
  <si>
    <t>Ntcheu</t>
  </si>
  <si>
    <t>Upper Wamkulumadzi</t>
  </si>
  <si>
    <t>Neno</t>
  </si>
  <si>
    <t>Blantyre/Kapichira</t>
  </si>
  <si>
    <t>Blantyre</t>
  </si>
  <si>
    <t>Chingale</t>
  </si>
  <si>
    <t>Zomba and Machinga</t>
  </si>
  <si>
    <t>Area (ha)</t>
  </si>
  <si>
    <t xml:space="preserve">Forest </t>
  </si>
  <si>
    <t>Land use</t>
  </si>
  <si>
    <t>Pop</t>
  </si>
  <si>
    <t>Forest</t>
  </si>
  <si>
    <t>SRBMP catchments</t>
  </si>
  <si>
    <t>Balaka</t>
  </si>
  <si>
    <t>Mangochi</t>
  </si>
  <si>
    <t>TBD</t>
  </si>
  <si>
    <t xml:space="preserve">Sub-Catchments </t>
  </si>
  <si>
    <t>Micro-catchments covered by VLAPs</t>
  </si>
  <si>
    <t>Total Area of Targeted Catchments</t>
  </si>
  <si>
    <t>Scale-up catchments</t>
  </si>
  <si>
    <t>SRBMP treated area</t>
  </si>
  <si>
    <t>Project Catchment Characteristics</t>
  </si>
  <si>
    <t xml:space="preserve">Agriculture </t>
  </si>
  <si>
    <t>Agriculture</t>
  </si>
  <si>
    <t>TOTAL COSTS</t>
  </si>
  <si>
    <t>Shire River Basin Restoration Potential (ha)</t>
  </si>
  <si>
    <t>Shire River Basin Restoration- Priority</t>
  </si>
  <si>
    <t>Project area as % of potential</t>
  </si>
  <si>
    <t>Project area as % of priority</t>
  </si>
  <si>
    <t>Area treated under SRBMP</t>
  </si>
  <si>
    <t>Jan</t>
  </si>
  <si>
    <t>Feb</t>
  </si>
  <si>
    <t>Mar</t>
  </si>
  <si>
    <t>Apr</t>
  </si>
  <si>
    <t>May</t>
  </si>
  <si>
    <t>Jun</t>
  </si>
  <si>
    <t xml:space="preserve">TOTAL REVENUES </t>
  </si>
  <si>
    <t>Revenue collection efficiency (%)</t>
  </si>
  <si>
    <t>Dec</t>
  </si>
  <si>
    <t xml:space="preserve">Remarks </t>
  </si>
  <si>
    <r>
      <t xml:space="preserve">Other revenue </t>
    </r>
    <r>
      <rPr>
        <i/>
        <sz val="11"/>
        <color rgb="FF000000"/>
        <rFont val="Calibri"/>
        <family val="2"/>
        <scheme val="minor"/>
      </rPr>
      <t>(please specify, if applicable</t>
    </r>
    <r>
      <rPr>
        <sz val="11"/>
        <color rgb="FF000000"/>
        <rFont val="Calibri"/>
        <family val="2"/>
        <scheme val="minor"/>
      </rPr>
      <t>)</t>
    </r>
  </si>
  <si>
    <t>Adminstration</t>
  </si>
  <si>
    <t>Jul</t>
  </si>
  <si>
    <t>Aug</t>
  </si>
  <si>
    <t>Oct</t>
  </si>
  <si>
    <t>Nov</t>
  </si>
  <si>
    <t>REVENUES</t>
  </si>
  <si>
    <t>Sept</t>
  </si>
  <si>
    <t>Opening month</t>
  </si>
  <si>
    <t>Actual revenue collected (million)</t>
  </si>
  <si>
    <t>Projection</t>
  </si>
  <si>
    <t>Local Government Transfers (Plus/Minus)</t>
  </si>
  <si>
    <t>WSP Financial Projections Period</t>
  </si>
  <si>
    <t>Name of Contact Person</t>
  </si>
  <si>
    <t>Contact Tel and Email Address</t>
  </si>
  <si>
    <t>Name of WSP</t>
  </si>
  <si>
    <t>Total</t>
  </si>
  <si>
    <t>Enter Average Revenue Over Last 12 Months</t>
  </si>
  <si>
    <t>Actual Average</t>
  </si>
  <si>
    <t>Total Revenue (Plus/Minus) Transfers</t>
  </si>
  <si>
    <t>OPERATING COSTS</t>
  </si>
  <si>
    <t>Please enter data in blue cells</t>
  </si>
  <si>
    <t>Post Covid</t>
  </si>
  <si>
    <t>Pre Covid</t>
  </si>
  <si>
    <t>Financial Impact</t>
  </si>
  <si>
    <t>Interest Expense (if applicable)</t>
  </si>
  <si>
    <t>PROFIT BEFORE TAXES</t>
  </si>
  <si>
    <t>Income Taxes (if applicable)</t>
  </si>
  <si>
    <t>Add: Depreciation Expense</t>
  </si>
  <si>
    <t>Operating Cash Flow</t>
  </si>
  <si>
    <t>Principal Repayments</t>
  </si>
  <si>
    <t>Cash Flow After Debt Service</t>
  </si>
  <si>
    <t>COVID-19 Related CAPEX Costs</t>
  </si>
  <si>
    <t>Itemized COVID-19 CAPEX</t>
  </si>
  <si>
    <t>Please provide planned capex that can be completed within 3 months, e.g. tanker services, hand washing stations, dealing with backlog of connections, providing free connections (where feasible), installing public standpoints etc).  If no interventions planned , please leave blank</t>
  </si>
  <si>
    <t>CAPEX intervention 4</t>
  </si>
  <si>
    <t>CAPEX intervention 5</t>
  </si>
  <si>
    <t>Total capital costs</t>
  </si>
  <si>
    <t>Cleaning and Sanitation Equipment</t>
  </si>
  <si>
    <t>Kiosks &amp; Hand Washing Stations</t>
  </si>
  <si>
    <t>Programmed Funding For Capex</t>
  </si>
  <si>
    <t>Month End Cash Flow</t>
  </si>
  <si>
    <t>Sample WSP</t>
  </si>
  <si>
    <t>Finance</t>
  </si>
  <si>
    <t xml:space="preserve">Enter month number </t>
  </si>
  <si>
    <t>Water Capacity, Production &amp; Connection Program</t>
  </si>
  <si>
    <t>Opening  Household Indicators</t>
  </si>
  <si>
    <t>Month Ending</t>
  </si>
  <si>
    <t>Month-End House Connections</t>
  </si>
  <si>
    <t>Weighted Average Tariff</t>
  </si>
  <si>
    <t>NRW</t>
  </si>
  <si>
    <t>Unaccounted For Water (NRW)</t>
  </si>
  <si>
    <t>Households Operations</t>
  </si>
  <si>
    <t>Average Tariff (Currency/m3)</t>
  </si>
  <si>
    <t>Connection Charge (Currency/Connection)</t>
  </si>
  <si>
    <t>Tariff Rate increases/(decreases)</t>
  </si>
  <si>
    <t>Domestic Month-End Factor:</t>
  </si>
  <si>
    <t>Domestic Average Factor</t>
  </si>
  <si>
    <t>Effective Tariff</t>
  </si>
  <si>
    <t>New Connections</t>
  </si>
  <si>
    <t>Cumulative Water Connections (Month End)</t>
  </si>
  <si>
    <t>Cumulative Water Connections (Ave.)</t>
  </si>
  <si>
    <t>Percent Growth in Connections</t>
  </si>
  <si>
    <t>Average Usage/Connection (m3/day)</t>
  </si>
  <si>
    <t>Opening  Commercial Indicators</t>
  </si>
  <si>
    <t>Month-End Commercial Connections</t>
  </si>
  <si>
    <t>Commercial  Operations</t>
  </si>
  <si>
    <t>Water Monthly Production Capacity (m3)</t>
  </si>
  <si>
    <t>Total Potential Monthly Demand</t>
  </si>
  <si>
    <t>Daily Demand (m3)</t>
  </si>
  <si>
    <t>Total Production Requirement (m3)</t>
  </si>
  <si>
    <t>Total Actual Production (m3)</t>
  </si>
  <si>
    <t>Total Water Consumed (m3)</t>
  </si>
  <si>
    <t>Water (Shortage)/Surplus (m3)</t>
  </si>
  <si>
    <t>Total Water Connections</t>
  </si>
  <si>
    <t>New Water Connection Revenue (mllion)</t>
  </si>
  <si>
    <t>Total Water Revenue (million)</t>
  </si>
  <si>
    <t>Opening Connections</t>
  </si>
  <si>
    <t>Sewerage tariff/m3</t>
  </si>
  <si>
    <t>Connection Charge (currency/connection)</t>
  </si>
  <si>
    <t>Tariff Rate increases</t>
  </si>
  <si>
    <t>Domestic Year-End Factor:</t>
  </si>
  <si>
    <t>New connections</t>
  </si>
  <si>
    <t>Monthly Wastewater Capacity (m3)</t>
  </si>
  <si>
    <t>Sewerage Processed (m3)</t>
  </si>
  <si>
    <t>Total Sewerage Connections</t>
  </si>
  <si>
    <t>Sewerage Billed (million)</t>
  </si>
  <si>
    <t>Sewerage Connection Revenue (million)</t>
  </si>
  <si>
    <t>Water Supply Operating &amp; Admin Costs</t>
  </si>
  <si>
    <t>Water Extraction Cost</t>
  </si>
  <si>
    <t>NRW @ Extraction</t>
  </si>
  <si>
    <t>Monthly Water Extraction</t>
  </si>
  <si>
    <t>Cost/M3 in Currency</t>
  </si>
  <si>
    <t>Water Extraction Costs (million)</t>
  </si>
  <si>
    <t>Water Production Electricity Cost</t>
  </si>
  <si>
    <t>Monthly Water Production</t>
  </si>
  <si>
    <t>Water Pumping Cost/m3</t>
  </si>
  <si>
    <t>Electricity Costs (million)</t>
  </si>
  <si>
    <t>Chemical Treatment</t>
  </si>
  <si>
    <t>Chemical Costs (currency/m3)</t>
  </si>
  <si>
    <t>Chemical Cost (million)</t>
  </si>
  <si>
    <t>Maintenance &amp; Repairs</t>
  </si>
  <si>
    <t>Maintenance (million)</t>
  </si>
  <si>
    <t>No. of Employees</t>
  </si>
  <si>
    <t>Cost/Employee (currency/month)</t>
  </si>
  <si>
    <t>Monthly Direct Salaries Costs</t>
  </si>
  <si>
    <t>Allowances and Bonus as % of Direct</t>
  </si>
  <si>
    <t>Allowances and Bonuses (million)</t>
  </si>
  <si>
    <t>Overtime as % of direct costs</t>
  </si>
  <si>
    <t>Overtime costs (million)</t>
  </si>
  <si>
    <t>Pension Expense</t>
  </si>
  <si>
    <t>Wastewater Service Operating &amp; Admin Costs</t>
  </si>
  <si>
    <t>Wastewater Employee Salaries</t>
  </si>
  <si>
    <t>Direct Salaries Costs</t>
  </si>
  <si>
    <t>Energy Cost (unit cost/m3)</t>
  </si>
  <si>
    <t>Administrative Expenses</t>
  </si>
  <si>
    <t>Other Wastewater Costs</t>
  </si>
  <si>
    <t xml:space="preserve">Monthly Cost </t>
  </si>
  <si>
    <t>Wastewater Costs/ (m3)</t>
  </si>
  <si>
    <r>
      <t>Other Revenue</t>
    </r>
    <r>
      <rPr>
        <sz val="9"/>
        <rFont val="Arial"/>
        <family val="2"/>
      </rPr>
      <t xml:space="preserve"> (million)</t>
    </r>
  </si>
  <si>
    <r>
      <t>Administration</t>
    </r>
    <r>
      <rPr>
        <sz val="10"/>
        <rFont val="Arial"/>
        <family val="2"/>
      </rPr>
      <t xml:space="preserve"> (million)</t>
    </r>
  </si>
  <si>
    <t>Color Codes For Numbers and Cells:</t>
  </si>
  <si>
    <t>Black Nos. = Formula Cells. Do not input</t>
  </si>
  <si>
    <t>Billed Revenue from Water Sales (million)</t>
  </si>
  <si>
    <t>Connection Revenue</t>
  </si>
  <si>
    <t>Water Operating Costs</t>
  </si>
  <si>
    <t>Waster Water Operating Costs</t>
  </si>
  <si>
    <t>Water Operating Salaries</t>
  </si>
  <si>
    <t>Electricity Costs</t>
  </si>
  <si>
    <t>Water Supply Operating Costs</t>
  </si>
  <si>
    <t>Other Water Operating Costs</t>
  </si>
  <si>
    <t>Depreciation Expense</t>
  </si>
  <si>
    <t>Total Wastewater Costs</t>
  </si>
  <si>
    <t>Other Direct Costs</t>
  </si>
  <si>
    <t>Opening Sewerage Connections</t>
  </si>
  <si>
    <t>Total Operating Costs</t>
  </si>
  <si>
    <t>INCOME STATEMENT</t>
  </si>
  <si>
    <t>Remarks</t>
  </si>
  <si>
    <t>Light Blue Cells and Nos. = Input Areas</t>
  </si>
  <si>
    <t>Light Blue Cells and Numbers = Input Areas</t>
  </si>
  <si>
    <t>CASH FLOW STATEMENT</t>
  </si>
  <si>
    <t>Currency</t>
  </si>
  <si>
    <t>in Millions</t>
  </si>
  <si>
    <r>
      <t xml:space="preserve">PROFIT AFTER TAXES </t>
    </r>
    <r>
      <rPr>
        <sz val="11"/>
        <color theme="1"/>
        <rFont val="Calibri"/>
        <family val="2"/>
        <scheme val="minor"/>
      </rPr>
      <t>(assumes cash collections)</t>
    </r>
  </si>
  <si>
    <t>COVID Income and Cash Flow Financial Impact</t>
  </si>
  <si>
    <r>
      <rPr>
        <sz val="9"/>
        <color rgb="FF3333FF"/>
        <rFont val="Calibri"/>
        <family val="2"/>
        <scheme val="minor"/>
      </rPr>
      <t>(Increase = Blue</t>
    </r>
    <r>
      <rPr>
        <sz val="9"/>
        <color theme="1"/>
        <rFont val="Calibri"/>
        <family val="2"/>
        <scheme val="minor"/>
      </rPr>
      <t xml:space="preserve">   </t>
    </r>
    <r>
      <rPr>
        <sz val="9"/>
        <color rgb="FFFF0000"/>
        <rFont val="Calibri"/>
        <family val="2"/>
        <scheme val="minor"/>
      </rPr>
      <t xml:space="preserve">Decrease = Red) </t>
    </r>
  </si>
  <si>
    <t>existing work in process</t>
  </si>
  <si>
    <t>Daily Revenue</t>
  </si>
  <si>
    <t>Billed Revenue From Sewerage Sales (million)</t>
  </si>
  <si>
    <t>IDR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</si>
</sst>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0;[Red]0.00"/>
    <numFmt numFmtId="166" formatCode="0;[Red]0"/>
    <numFmt numFmtId="167" formatCode="0.0%"/>
    <numFmt numFmtId="168" formatCode="_(* #,##0.000_);_(* \(#,##0.000\);_(* &quot;-&quot;??_);_(@_)"/>
    <numFmt numFmtId="169" formatCode="_(* #,##0.0000_);_(* \(#,##0.0000\);_(* &quot;-&quot;??_);_(@_)"/>
    <numFmt numFmtId="170" formatCode="#,##0.000"/>
    <numFmt numFmtId="171" formatCode="0.000"/>
    <numFmt numFmtId="172" formatCode="0.000;[Red]0.000"/>
    <numFmt numFmtId="173" formatCode="#,##0.000_);\(#,##0.000\)"/>
    <numFmt numFmtId="174" formatCode="#,##0.000;[Red]#,##0.0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i/>
      <sz val="10"/>
      <color theme="1"/>
      <name val="Calibri"/>
      <family val="2"/>
      <scheme val="minor"/>
    </font>
    <font>
      <b/>
      <i/>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sz val="11"/>
      <color rgb="FF000000"/>
      <name val="Calibri"/>
      <family val="2"/>
      <scheme val="minor"/>
    </font>
    <font>
      <sz val="8"/>
      <name val="Calibri"/>
      <family val="2"/>
      <scheme val="minor"/>
    </font>
    <font>
      <i/>
      <sz val="11"/>
      <color rgb="FF000000"/>
      <name val="Calibri"/>
      <family val="2"/>
      <scheme val="minor"/>
    </font>
    <font>
      <sz val="11"/>
      <color rgb="FF0070C0"/>
      <name val="Calibri"/>
      <family val="2"/>
      <scheme val="minor"/>
    </font>
    <font>
      <b/>
      <sz val="11"/>
      <color rgb="FF0070C0"/>
      <name val="Calibri"/>
      <family val="2"/>
      <scheme val="minor"/>
    </font>
    <font>
      <sz val="10"/>
      <name val="Arial"/>
      <family val="2"/>
    </font>
    <font>
      <b/>
      <sz val="9"/>
      <name val="Arial"/>
      <family val="2"/>
    </font>
    <font>
      <sz val="9"/>
      <color theme="1"/>
      <name val="Calibri"/>
      <family val="2"/>
      <scheme val="minor"/>
    </font>
    <font>
      <b/>
      <sz val="9"/>
      <color theme="1"/>
      <name val="Calibri"/>
      <family val="2"/>
      <scheme val="minor"/>
    </font>
    <font>
      <sz val="9"/>
      <color rgb="FF0070C0"/>
      <name val="Calibri"/>
      <family val="2"/>
      <scheme val="minor"/>
    </font>
    <font>
      <sz val="9"/>
      <color rgb="FF000000"/>
      <name val="Calibri"/>
      <family val="2"/>
      <scheme val="minor"/>
    </font>
    <font>
      <i/>
      <sz val="9"/>
      <color theme="1"/>
      <name val="Calibri"/>
      <family val="2"/>
      <scheme val="minor"/>
    </font>
    <font>
      <sz val="9"/>
      <name val="Calibri"/>
      <family val="2"/>
      <scheme val="minor"/>
    </font>
    <font>
      <b/>
      <i/>
      <sz val="11"/>
      <color rgb="FF0070C0"/>
      <name val="Calibri"/>
      <family val="2"/>
      <scheme val="minor"/>
    </font>
    <font>
      <u/>
      <sz val="11"/>
      <color theme="10"/>
      <name val="Calibri"/>
      <family val="2"/>
      <scheme val="minor"/>
    </font>
    <font>
      <b/>
      <sz val="26"/>
      <name val="Arial"/>
      <family val="2"/>
    </font>
    <font>
      <b/>
      <sz val="18"/>
      <name val="Arial"/>
      <family val="2"/>
    </font>
    <font>
      <b/>
      <sz val="12"/>
      <name val="Arial"/>
      <family val="2"/>
    </font>
    <font>
      <b/>
      <sz val="10"/>
      <color indexed="9"/>
      <name val="Arial"/>
      <family val="2"/>
    </font>
    <font>
      <sz val="9"/>
      <name val="Arial"/>
      <family val="2"/>
    </font>
    <font>
      <b/>
      <sz val="10"/>
      <name val="Arial"/>
      <family val="2"/>
    </font>
    <font>
      <b/>
      <sz val="12"/>
      <color indexed="9"/>
      <name val="Arial"/>
      <family val="2"/>
    </font>
    <font>
      <b/>
      <sz val="8"/>
      <name val="Arial"/>
      <family val="2"/>
    </font>
    <font>
      <sz val="9"/>
      <color rgb="FF0000CC"/>
      <name val="Arial"/>
      <family val="2"/>
    </font>
    <font>
      <sz val="9"/>
      <color indexed="12"/>
      <name val="Arial"/>
      <family val="2"/>
    </font>
    <font>
      <b/>
      <sz val="9"/>
      <color theme="0"/>
      <name val="Arial"/>
      <family val="2"/>
    </font>
    <font>
      <sz val="10"/>
      <color indexed="9"/>
      <name val="Arial"/>
      <family val="2"/>
    </font>
    <font>
      <sz val="10"/>
      <color theme="0"/>
      <name val="Arial"/>
      <family val="2"/>
    </font>
    <font>
      <b/>
      <sz val="14"/>
      <color indexed="9"/>
      <name val="Arial"/>
      <family val="2"/>
    </font>
    <font>
      <sz val="9"/>
      <color rgb="FF3333FF"/>
      <name val="Arial"/>
      <family val="2"/>
    </font>
    <font>
      <sz val="11"/>
      <color rgb="FF3333FF"/>
      <name val="Calibri"/>
      <family val="2"/>
      <scheme val="minor"/>
    </font>
    <font>
      <b/>
      <sz val="14"/>
      <name val="Calibri"/>
      <family val="2"/>
      <scheme val="minor"/>
    </font>
    <font>
      <sz val="9"/>
      <color theme="8" tint="-0.249977111117893"/>
      <name val="Calibri"/>
      <family val="2"/>
      <scheme val="minor"/>
    </font>
    <font>
      <b/>
      <sz val="10"/>
      <color theme="1"/>
      <name val="Arial"/>
      <family val="2"/>
    </font>
    <font>
      <b/>
      <sz val="9"/>
      <color rgb="FF000000"/>
      <name val="Calibri"/>
      <family val="2"/>
      <scheme val="minor"/>
    </font>
    <font>
      <b/>
      <sz val="9"/>
      <name val="Calibri"/>
      <family val="2"/>
      <scheme val="minor"/>
    </font>
    <font>
      <b/>
      <sz val="12"/>
      <color theme="1"/>
      <name val="Calibri"/>
      <family val="2"/>
      <scheme val="minor"/>
    </font>
    <font>
      <b/>
      <i/>
      <sz val="12"/>
      <color rgb="FF0070C0"/>
      <name val="Calibri"/>
      <family val="2"/>
      <scheme val="minor"/>
    </font>
    <font>
      <sz val="9"/>
      <color rgb="FF3333FF"/>
      <name val="Calibri"/>
      <family val="2"/>
      <scheme val="minor"/>
    </font>
    <font>
      <b/>
      <sz val="10"/>
      <color theme="1"/>
      <name val="Calibri"/>
      <family val="2"/>
      <scheme val="minor"/>
    </font>
    <font>
      <b/>
      <sz val="9"/>
      <color theme="1"/>
      <name val="Arial"/>
      <family val="2"/>
    </font>
    <font>
      <b/>
      <sz val="11"/>
      <color rgb="FF3333FF"/>
      <name val="Calibri"/>
      <family val="2"/>
      <scheme val="minor"/>
    </font>
    <font>
      <b/>
      <sz val="14"/>
      <color theme="1"/>
      <name val="Calibri"/>
      <family val="2"/>
      <scheme val="minor"/>
    </font>
    <font>
      <sz val="9"/>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style="thin">
        <color auto="1"/>
      </top>
      <bottom style="thin">
        <color auto="1"/>
      </bottom>
      <diagonal/>
    </border>
    <border>
      <left style="thin">
        <color auto="1"/>
      </left>
      <right style="thin">
        <color auto="1"/>
      </right>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cellStyleXfs>
  <cellXfs count="390">
    <xf numFmtId="0" fontId="0" fillId="0" borderId="0" xfId="0"/>
    <xf numFmtId="0" fontId="2" fillId="0" borderId="0" xfId="0" applyFont="1"/>
    <xf numFmtId="0" fontId="0" fillId="0" borderId="1" xfId="0" applyFont="1" applyFill="1" applyBorder="1"/>
    <xf numFmtId="0" fontId="0" fillId="0" borderId="0" xfId="0" applyFill="1"/>
    <xf numFmtId="0" fontId="2"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4" fillId="0" borderId="1" xfId="0" applyFont="1" applyBorder="1" applyAlignment="1">
      <alignment horizontal="left" vertical="center" wrapText="1"/>
    </xf>
    <xf numFmtId="3" fontId="4"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9" fontId="0" fillId="0" borderId="1" xfId="1" applyFont="1" applyBorder="1" applyAlignment="1">
      <alignment horizontal="right"/>
    </xf>
    <xf numFmtId="0" fontId="4" fillId="2" borderId="1" xfId="0" applyFont="1" applyFill="1" applyBorder="1" applyAlignment="1">
      <alignment horizontal="left" vertical="center" wrapText="1"/>
    </xf>
    <xf numFmtId="3" fontId="4" fillId="2"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xf>
    <xf numFmtId="3"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center"/>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Border="1"/>
    <xf numFmtId="9" fontId="0" fillId="0" borderId="1" xfId="1" applyFont="1" applyBorder="1"/>
    <xf numFmtId="3" fontId="0" fillId="0" borderId="0" xfId="0" applyNumberFormat="1"/>
    <xf numFmtId="0" fontId="0" fillId="3" borderId="0" xfId="0" applyFill="1"/>
    <xf numFmtId="0" fontId="15" fillId="3" borderId="0" xfId="0" applyFont="1" applyFill="1"/>
    <xf numFmtId="0" fontId="2" fillId="3" borderId="0" xfId="0" applyFont="1" applyFill="1" applyBorder="1" applyAlignment="1">
      <alignment wrapText="1"/>
    </xf>
    <xf numFmtId="0" fontId="0" fillId="3" borderId="0" xfId="0" applyFill="1" applyBorder="1"/>
    <xf numFmtId="0" fontId="2" fillId="3" borderId="8" xfId="0" applyFont="1" applyFill="1" applyBorder="1"/>
    <xf numFmtId="0" fontId="2" fillId="3" borderId="0" xfId="0" applyFont="1" applyFill="1" applyBorder="1"/>
    <xf numFmtId="0" fontId="0" fillId="3" borderId="0" xfId="0" applyFont="1" applyFill="1" applyBorder="1" applyAlignment="1">
      <alignment horizontal="left" vertical="top" wrapText="1"/>
    </xf>
    <xf numFmtId="0" fontId="2" fillId="3" borderId="2" xfId="0" applyFont="1" applyFill="1" applyBorder="1" applyAlignment="1">
      <alignment horizontal="right"/>
    </xf>
    <xf numFmtId="0" fontId="0" fillId="3" borderId="12" xfId="0" applyFont="1" applyFill="1" applyBorder="1"/>
    <xf numFmtId="0" fontId="0" fillId="3" borderId="3" xfId="0" applyFont="1" applyFill="1" applyBorder="1"/>
    <xf numFmtId="0" fontId="2" fillId="3" borderId="2" xfId="0" applyFont="1" applyFill="1" applyBorder="1"/>
    <xf numFmtId="0" fontId="2" fillId="3" borderId="3" xfId="0" applyFont="1" applyFill="1" applyBorder="1"/>
    <xf numFmtId="0" fontId="0" fillId="3" borderId="12" xfId="0" applyFill="1" applyBorder="1"/>
    <xf numFmtId="0" fontId="2" fillId="3" borderId="2" xfId="0" applyFont="1" applyFill="1" applyBorder="1" applyAlignment="1">
      <alignment horizontal="center"/>
    </xf>
    <xf numFmtId="1" fontId="16" fillId="5" borderId="3" xfId="0" applyNumberFormat="1" applyFont="1" applyFill="1" applyBorder="1" applyAlignment="1">
      <alignment horizontal="center"/>
    </xf>
    <xf numFmtId="1" fontId="16" fillId="5" borderId="8" xfId="0" applyNumberFormat="1" applyFont="1" applyFill="1" applyBorder="1" applyAlignment="1">
      <alignment horizontal="center"/>
    </xf>
    <xf numFmtId="0" fontId="0" fillId="3" borderId="3" xfId="0" applyFill="1" applyBorder="1"/>
    <xf numFmtId="17" fontId="2" fillId="3" borderId="2" xfId="0" applyNumberFormat="1" applyFont="1" applyFill="1" applyBorder="1" applyAlignment="1">
      <alignment horizontal="right"/>
    </xf>
    <xf numFmtId="3" fontId="8" fillId="3" borderId="0" xfId="0" applyNumberFormat="1" applyFont="1" applyFill="1" applyBorder="1" applyAlignment="1">
      <alignment horizontal="right" vertical="center"/>
    </xf>
    <xf numFmtId="1" fontId="16" fillId="3" borderId="8" xfId="0" applyNumberFormat="1" applyFont="1" applyFill="1" applyBorder="1" applyAlignment="1">
      <alignment horizontal="center"/>
    </xf>
    <xf numFmtId="1" fontId="16" fillId="3" borderId="13" xfId="0" applyNumberFormat="1" applyFont="1" applyFill="1" applyBorder="1" applyAlignment="1">
      <alignment horizontal="center"/>
    </xf>
    <xf numFmtId="1" fontId="16" fillId="5" borderId="9" xfId="0" applyNumberFormat="1" applyFont="1" applyFill="1" applyBorder="1" applyAlignment="1">
      <alignment horizontal="center"/>
    </xf>
    <xf numFmtId="164" fontId="0" fillId="3" borderId="0" xfId="0" applyNumberFormat="1" applyFont="1" applyFill="1" applyBorder="1"/>
    <xf numFmtId="0" fontId="2" fillId="3" borderId="10" xfId="0" applyFont="1" applyFill="1" applyBorder="1" applyAlignment="1">
      <alignment horizontal="center" wrapText="1"/>
    </xf>
    <xf numFmtId="0" fontId="2" fillId="3" borderId="12" xfId="0" applyFont="1" applyFill="1" applyBorder="1" applyAlignment="1">
      <alignment horizontal="right"/>
    </xf>
    <xf numFmtId="164" fontId="0" fillId="3" borderId="10" xfId="0" applyNumberFormat="1" applyFont="1" applyFill="1" applyBorder="1"/>
    <xf numFmtId="0" fontId="0" fillId="3" borderId="2" xfId="0" applyFill="1" applyBorder="1"/>
    <xf numFmtId="0" fontId="5" fillId="3" borderId="0" xfId="0" applyFont="1" applyFill="1" applyBorder="1" applyAlignment="1">
      <alignment vertical="top" wrapText="1"/>
    </xf>
    <xf numFmtId="0" fontId="17" fillId="3" borderId="0" xfId="0" applyFont="1" applyFill="1"/>
    <xf numFmtId="0" fontId="17" fillId="3" borderId="0" xfId="0" applyFont="1" applyFill="1" applyAlignment="1">
      <alignment horizontal="center"/>
    </xf>
    <xf numFmtId="0" fontId="18" fillId="3" borderId="0" xfId="0" applyFont="1" applyFill="1" applyBorder="1" applyAlignment="1">
      <alignment wrapText="1"/>
    </xf>
    <xf numFmtId="0" fontId="18" fillId="3" borderId="0" xfId="0" applyFont="1" applyFill="1" applyBorder="1" applyAlignment="1">
      <alignment horizontal="right"/>
    </xf>
    <xf numFmtId="164" fontId="17" fillId="3" borderId="10" xfId="0" applyNumberFormat="1" applyFont="1" applyFill="1" applyBorder="1"/>
    <xf numFmtId="164" fontId="17" fillId="3" borderId="0" xfId="0" applyNumberFormat="1" applyFont="1" applyFill="1" applyBorder="1"/>
    <xf numFmtId="0" fontId="17" fillId="3" borderId="10" xfId="0" applyFont="1" applyFill="1" applyBorder="1" applyAlignment="1"/>
    <xf numFmtId="0" fontId="17" fillId="3" borderId="0" xfId="0" applyFont="1" applyFill="1" applyBorder="1"/>
    <xf numFmtId="1" fontId="17" fillId="3" borderId="0" xfId="0" applyNumberFormat="1" applyFont="1" applyFill="1" applyBorder="1"/>
    <xf numFmtId="1" fontId="17" fillId="3" borderId="0" xfId="2" applyNumberFormat="1" applyFont="1" applyFill="1" applyBorder="1"/>
    <xf numFmtId="0" fontId="17" fillId="0" borderId="0" xfId="0" applyFont="1" applyFill="1"/>
    <xf numFmtId="0" fontId="17" fillId="0" borderId="0" xfId="0" applyFont="1"/>
    <xf numFmtId="0" fontId="18" fillId="3" borderId="2" xfId="0" applyFont="1" applyFill="1" applyBorder="1" applyAlignment="1">
      <alignment horizontal="center"/>
    </xf>
    <xf numFmtId="43" fontId="18" fillId="3" borderId="1" xfId="2" applyFont="1" applyFill="1" applyBorder="1"/>
    <xf numFmtId="166" fontId="2" fillId="3" borderId="2" xfId="0" applyNumberFormat="1" applyFont="1" applyFill="1" applyBorder="1" applyAlignment="1">
      <alignment horizontal="right"/>
    </xf>
    <xf numFmtId="0" fontId="18" fillId="3" borderId="6" xfId="0" applyFont="1" applyFill="1" applyBorder="1" applyAlignment="1">
      <alignment horizontal="center"/>
    </xf>
    <xf numFmtId="0" fontId="18" fillId="3" borderId="2" xfId="0" applyFont="1" applyFill="1" applyBorder="1" applyAlignment="1">
      <alignment horizontal="center" wrapText="1"/>
    </xf>
    <xf numFmtId="0" fontId="0" fillId="3" borderId="2" xfId="0" applyFont="1" applyFill="1" applyBorder="1"/>
    <xf numFmtId="0" fontId="2" fillId="3" borderId="1" xfId="0" applyFont="1" applyFill="1" applyBorder="1"/>
    <xf numFmtId="0" fontId="2" fillId="3" borderId="12" xfId="0" applyFont="1" applyFill="1" applyBorder="1"/>
    <xf numFmtId="0" fontId="10"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2" fillId="3" borderId="12" xfId="0" applyFont="1" applyFill="1" applyBorder="1" applyAlignment="1">
      <alignment horizontal="left"/>
    </xf>
    <xf numFmtId="0" fontId="0" fillId="3" borderId="1"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4" xfId="0" applyFont="1" applyFill="1" applyBorder="1"/>
    <xf numFmtId="2" fontId="17" fillId="3" borderId="5" xfId="0" applyNumberFormat="1" applyFont="1" applyFill="1" applyBorder="1" applyAlignment="1"/>
    <xf numFmtId="0" fontId="17" fillId="3" borderId="7" xfId="0" applyFont="1" applyFill="1" applyBorder="1"/>
    <xf numFmtId="43" fontId="34" fillId="4" borderId="0" xfId="2" applyFont="1" applyFill="1" applyBorder="1" applyProtection="1">
      <protection locked="0"/>
    </xf>
    <xf numFmtId="9" fontId="34" fillId="4" borderId="0" xfId="1" applyFont="1" applyFill="1" applyBorder="1" applyProtection="1">
      <protection locked="0"/>
    </xf>
    <xf numFmtId="9" fontId="33" fillId="4" borderId="0" xfId="1" applyFont="1" applyFill="1" applyBorder="1" applyProtection="1">
      <protection locked="0"/>
    </xf>
    <xf numFmtId="168" fontId="33" fillId="4" borderId="0" xfId="2" applyNumberFormat="1" applyFont="1" applyFill="1" applyBorder="1" applyProtection="1">
      <protection locked="0"/>
    </xf>
    <xf numFmtId="164" fontId="39" fillId="4" borderId="3" xfId="2" applyNumberFormat="1" applyFont="1" applyFill="1" applyBorder="1" applyProtection="1">
      <protection locked="0"/>
    </xf>
    <xf numFmtId="168" fontId="39" fillId="4" borderId="13" xfId="2" applyNumberFormat="1" applyFont="1" applyFill="1" applyBorder="1" applyProtection="1">
      <protection locked="0"/>
    </xf>
    <xf numFmtId="168" fontId="39" fillId="4" borderId="0" xfId="2" applyNumberFormat="1" applyFont="1" applyFill="1" applyBorder="1" applyProtection="1">
      <protection locked="0"/>
    </xf>
    <xf numFmtId="164" fontId="39" fillId="4" borderId="0" xfId="2" applyNumberFormat="1" applyFont="1" applyFill="1" applyBorder="1" applyProtection="1">
      <protection locked="0"/>
    </xf>
    <xf numFmtId="0" fontId="40" fillId="4" borderId="2" xfId="0" applyFont="1" applyFill="1" applyBorder="1"/>
    <xf numFmtId="0" fontId="8" fillId="3" borderId="3" xfId="0" applyFont="1" applyFill="1" applyBorder="1"/>
    <xf numFmtId="0" fontId="41" fillId="3" borderId="0" xfId="0" applyFont="1" applyFill="1"/>
    <xf numFmtId="1" fontId="16" fillId="5" borderId="13" xfId="0" applyNumberFormat="1" applyFont="1" applyFill="1" applyBorder="1" applyAlignment="1">
      <alignment horizontal="center"/>
    </xf>
    <xf numFmtId="0" fontId="10" fillId="3" borderId="3" xfId="0" applyFont="1" applyFill="1" applyBorder="1" applyAlignment="1">
      <alignment horizontal="left" vertical="center"/>
    </xf>
    <xf numFmtId="168" fontId="17" fillId="3" borderId="3" xfId="0" applyNumberFormat="1" applyFont="1" applyFill="1" applyBorder="1"/>
    <xf numFmtId="170" fontId="22" fillId="3" borderId="12" xfId="0" applyNumberFormat="1" applyFont="1" applyFill="1" applyBorder="1" applyAlignment="1">
      <alignment horizontal="right" vertical="center"/>
    </xf>
    <xf numFmtId="170" fontId="22" fillId="3" borderId="3" xfId="0" applyNumberFormat="1" applyFont="1" applyFill="1" applyBorder="1" applyAlignment="1">
      <alignment horizontal="right" vertical="center"/>
    </xf>
    <xf numFmtId="170" fontId="22" fillId="3" borderId="1" xfId="0" applyNumberFormat="1" applyFont="1" applyFill="1" applyBorder="1" applyAlignment="1">
      <alignment horizontal="right" vertical="center"/>
    </xf>
    <xf numFmtId="0" fontId="0" fillId="3" borderId="14" xfId="0" applyFont="1" applyFill="1" applyBorder="1"/>
    <xf numFmtId="0" fontId="2" fillId="3" borderId="4" xfId="0" applyFont="1" applyFill="1" applyBorder="1"/>
    <xf numFmtId="17" fontId="18" fillId="3" borderId="11" xfId="0" applyNumberFormat="1" applyFont="1" applyFill="1" applyBorder="1" applyAlignment="1">
      <alignment horizontal="center"/>
    </xf>
    <xf numFmtId="1" fontId="18" fillId="3" borderId="11" xfId="0" applyNumberFormat="1" applyFont="1" applyFill="1" applyBorder="1" applyAlignment="1">
      <alignment horizontal="center"/>
    </xf>
    <xf numFmtId="1" fontId="18" fillId="3" borderId="5" xfId="0" applyNumberFormat="1" applyFont="1" applyFill="1" applyBorder="1" applyAlignment="1">
      <alignment horizontal="center"/>
    </xf>
    <xf numFmtId="1" fontId="16" fillId="5" borderId="1" xfId="0" applyNumberFormat="1" applyFont="1" applyFill="1" applyBorder="1" applyAlignment="1">
      <alignment horizontal="center"/>
    </xf>
    <xf numFmtId="170" fontId="22" fillId="3" borderId="2" xfId="0" applyNumberFormat="1" applyFont="1" applyFill="1" applyBorder="1" applyAlignment="1">
      <alignment horizontal="right" vertical="center"/>
    </xf>
    <xf numFmtId="170" fontId="19" fillId="3" borderId="4" xfId="0" applyNumberFormat="1" applyFont="1" applyFill="1" applyBorder="1" applyAlignment="1">
      <alignment vertical="center" wrapText="1"/>
    </xf>
    <xf numFmtId="0" fontId="7" fillId="3" borderId="1" xfId="0" applyFont="1" applyFill="1" applyBorder="1"/>
    <xf numFmtId="0" fontId="0" fillId="3" borderId="7" xfId="0" applyFill="1" applyBorder="1"/>
    <xf numFmtId="170" fontId="22" fillId="3" borderId="1" xfId="0" applyNumberFormat="1" applyFont="1" applyFill="1" applyBorder="1" applyAlignment="1">
      <alignment vertical="center" wrapText="1"/>
    </xf>
    <xf numFmtId="3" fontId="0" fillId="3" borderId="2" xfId="0" applyNumberFormat="1" applyFont="1" applyFill="1" applyBorder="1"/>
    <xf numFmtId="37" fontId="0" fillId="3" borderId="12" xfId="0" applyNumberFormat="1" applyFont="1" applyFill="1" applyBorder="1"/>
    <xf numFmtId="3" fontId="0" fillId="3" borderId="12" xfId="0" applyNumberFormat="1" applyFont="1" applyFill="1" applyBorder="1"/>
    <xf numFmtId="3" fontId="0" fillId="3" borderId="3" xfId="0" applyNumberFormat="1" applyFont="1" applyFill="1" applyBorder="1"/>
    <xf numFmtId="165" fontId="21" fillId="3" borderId="0" xfId="0" applyNumberFormat="1" applyFont="1" applyFill="1" applyBorder="1" applyAlignment="1">
      <alignment vertical="top" wrapText="1"/>
    </xf>
    <xf numFmtId="165" fontId="21" fillId="3" borderId="0" xfId="0" applyNumberFormat="1" applyFont="1" applyFill="1" applyBorder="1" applyAlignment="1">
      <alignment horizontal="left" vertical="top" wrapText="1"/>
    </xf>
    <xf numFmtId="165" fontId="5" fillId="3" borderId="0" xfId="0" applyNumberFormat="1" applyFont="1" applyFill="1" applyBorder="1" applyAlignment="1">
      <alignment horizontal="left" vertical="top" wrapText="1"/>
    </xf>
    <xf numFmtId="172" fontId="22" fillId="3" borderId="0" xfId="0" applyNumberFormat="1" applyFont="1" applyFill="1" applyBorder="1" applyAlignment="1">
      <alignment horizontal="right" vertical="center"/>
    </xf>
    <xf numFmtId="172" fontId="22" fillId="3" borderId="12" xfId="0" applyNumberFormat="1" applyFont="1" applyFill="1" applyBorder="1" applyAlignment="1">
      <alignment horizontal="right" vertical="center"/>
    </xf>
    <xf numFmtId="172" fontId="19" fillId="3" borderId="12" xfId="1" applyNumberFormat="1" applyFont="1" applyFill="1" applyBorder="1"/>
    <xf numFmtId="172" fontId="20" fillId="3" borderId="0" xfId="0" applyNumberFormat="1" applyFont="1" applyFill="1" applyBorder="1" applyAlignment="1">
      <alignment horizontal="right" vertical="center"/>
    </xf>
    <xf numFmtId="172" fontId="22" fillId="3" borderId="13" xfId="0" applyNumberFormat="1" applyFont="1" applyFill="1" applyBorder="1" applyAlignment="1">
      <alignment horizontal="right" vertical="center"/>
    </xf>
    <xf numFmtId="172" fontId="22" fillId="3" borderId="3" xfId="0" applyNumberFormat="1" applyFont="1" applyFill="1" applyBorder="1" applyAlignment="1">
      <alignment horizontal="right" vertical="center"/>
    </xf>
    <xf numFmtId="172" fontId="22" fillId="3" borderId="12" xfId="2" applyNumberFormat="1" applyFont="1" applyFill="1" applyBorder="1" applyAlignment="1">
      <alignment horizontal="right"/>
    </xf>
    <xf numFmtId="172" fontId="22" fillId="3" borderId="0" xfId="2" applyNumberFormat="1" applyFont="1" applyFill="1" applyBorder="1" applyAlignment="1">
      <alignment horizontal="right"/>
    </xf>
    <xf numFmtId="172" fontId="22" fillId="3" borderId="12" xfId="2" applyNumberFormat="1" applyFont="1" applyFill="1" applyBorder="1" applyAlignment="1">
      <alignment horizontal="right" vertical="center"/>
    </xf>
    <xf numFmtId="172" fontId="18" fillId="3" borderId="3" xfId="0" applyNumberFormat="1" applyFont="1" applyFill="1" applyBorder="1"/>
    <xf numFmtId="172" fontId="18" fillId="3" borderId="0" xfId="0" applyNumberFormat="1" applyFont="1" applyFill="1" applyBorder="1"/>
    <xf numFmtId="172" fontId="18" fillId="3" borderId="11" xfId="0" applyNumberFormat="1" applyFont="1" applyFill="1" applyBorder="1"/>
    <xf numFmtId="172" fontId="45" fillId="3" borderId="1" xfId="0" applyNumberFormat="1" applyFont="1" applyFill="1" applyBorder="1" applyAlignment="1">
      <alignment horizontal="right" vertical="center"/>
    </xf>
    <xf numFmtId="172" fontId="18" fillId="3" borderId="1" xfId="0" applyNumberFormat="1" applyFont="1" applyFill="1" applyBorder="1"/>
    <xf numFmtId="172" fontId="22" fillId="3" borderId="10" xfId="0" applyNumberFormat="1" applyFont="1" applyFill="1" applyBorder="1" applyAlignment="1">
      <alignment vertical="center" wrapText="1"/>
    </xf>
    <xf numFmtId="172" fontId="22" fillId="3" borderId="2" xfId="0" applyNumberFormat="1" applyFont="1" applyFill="1" applyBorder="1" applyAlignment="1">
      <alignment horizontal="right" vertical="center"/>
    </xf>
    <xf numFmtId="172" fontId="22" fillId="3" borderId="0" xfId="0" applyNumberFormat="1" applyFont="1" applyFill="1" applyBorder="1" applyAlignment="1">
      <alignment vertical="center" wrapText="1"/>
    </xf>
    <xf numFmtId="172" fontId="22" fillId="3" borderId="13" xfId="0" applyNumberFormat="1" applyFont="1" applyFill="1" applyBorder="1" applyAlignment="1">
      <alignment vertical="center" wrapText="1"/>
    </xf>
    <xf numFmtId="172" fontId="22" fillId="3" borderId="11" xfId="0" applyNumberFormat="1" applyFont="1" applyFill="1" applyBorder="1" applyAlignment="1">
      <alignment vertical="center" wrapText="1"/>
    </xf>
    <xf numFmtId="172" fontId="19" fillId="3" borderId="11" xfId="0" applyNumberFormat="1" applyFont="1" applyFill="1" applyBorder="1" applyAlignment="1">
      <alignment vertical="center" wrapText="1"/>
    </xf>
    <xf numFmtId="172" fontId="22" fillId="3" borderId="11" xfId="0" applyNumberFormat="1" applyFont="1" applyFill="1" applyBorder="1" applyAlignment="1">
      <alignment horizontal="right" vertical="center"/>
    </xf>
    <xf numFmtId="172" fontId="22" fillId="3" borderId="1" xfId="0" applyNumberFormat="1" applyFont="1" applyFill="1" applyBorder="1" applyAlignment="1">
      <alignment horizontal="right" vertical="center"/>
    </xf>
    <xf numFmtId="172" fontId="22" fillId="3" borderId="1" xfId="0" applyNumberFormat="1" applyFont="1" applyFill="1" applyBorder="1" applyAlignment="1">
      <alignment vertical="center" wrapText="1"/>
    </xf>
    <xf numFmtId="172" fontId="22" fillId="3" borderId="4" xfId="0" applyNumberFormat="1" applyFont="1" applyFill="1" applyBorder="1" applyAlignment="1">
      <alignment vertical="center" wrapText="1"/>
    </xf>
    <xf numFmtId="172" fontId="45" fillId="3" borderId="11" xfId="2" applyNumberFormat="1" applyFont="1" applyFill="1" applyBorder="1" applyAlignment="1">
      <alignment vertical="center" wrapText="1"/>
    </xf>
    <xf numFmtId="172" fontId="45" fillId="3" borderId="4" xfId="0" applyNumberFormat="1" applyFont="1" applyFill="1" applyBorder="1" applyAlignment="1">
      <alignment horizontal="right" vertical="center"/>
    </xf>
    <xf numFmtId="172" fontId="22" fillId="3" borderId="4" xfId="0" applyNumberFormat="1" applyFont="1" applyFill="1" applyBorder="1" applyAlignment="1">
      <alignment horizontal="right" vertical="center"/>
    </xf>
    <xf numFmtId="172" fontId="18" fillId="3" borderId="11" xfId="2" applyNumberFormat="1" applyFont="1" applyFill="1" applyBorder="1"/>
    <xf numFmtId="172" fontId="18" fillId="3" borderId="4" xfId="0" applyNumberFormat="1" applyFont="1" applyFill="1" applyBorder="1"/>
    <xf numFmtId="172" fontId="17" fillId="3" borderId="11" xfId="0" applyNumberFormat="1" applyFont="1" applyFill="1" applyBorder="1"/>
    <xf numFmtId="172" fontId="17" fillId="3" borderId="5" xfId="0" applyNumberFormat="1" applyFont="1" applyFill="1" applyBorder="1"/>
    <xf numFmtId="172" fontId="17" fillId="3" borderId="1" xfId="0" applyNumberFormat="1" applyFont="1" applyFill="1" applyBorder="1"/>
    <xf numFmtId="172" fontId="22" fillId="3" borderId="8" xfId="0" applyNumberFormat="1" applyFont="1" applyFill="1" applyBorder="1" applyAlignment="1">
      <alignment horizontal="right" vertical="center"/>
    </xf>
    <xf numFmtId="0" fontId="0" fillId="3" borderId="1" xfId="0" applyFill="1" applyBorder="1"/>
    <xf numFmtId="0" fontId="2" fillId="3" borderId="2" xfId="0" applyFont="1" applyFill="1" applyBorder="1" applyAlignment="1">
      <alignment horizontal="left" vertical="top" wrapText="1"/>
    </xf>
    <xf numFmtId="0" fontId="46" fillId="3" borderId="6" xfId="0" applyFont="1" applyFill="1" applyBorder="1" applyAlignment="1">
      <alignment vertical="center"/>
    </xf>
    <xf numFmtId="0" fontId="9" fillId="3" borderId="3" xfId="0" applyFont="1" applyFill="1" applyBorder="1"/>
    <xf numFmtId="174" fontId="17" fillId="3" borderId="1" xfId="0" applyNumberFormat="1" applyFont="1" applyFill="1" applyBorder="1"/>
    <xf numFmtId="0" fontId="0" fillId="3" borderId="3" xfId="0" applyFont="1" applyFill="1" applyBorder="1" applyAlignment="1">
      <alignment horizontal="left" vertical="top" wrapText="1"/>
    </xf>
    <xf numFmtId="0" fontId="18" fillId="3" borderId="10" xfId="0" applyFont="1" applyFill="1" applyBorder="1" applyAlignment="1">
      <alignment horizontal="center"/>
    </xf>
    <xf numFmtId="0" fontId="46" fillId="3" borderId="8" xfId="0" applyFont="1" applyFill="1" applyBorder="1" applyAlignment="1">
      <alignment vertical="center"/>
    </xf>
    <xf numFmtId="0" fontId="0" fillId="3" borderId="10" xfId="0" applyFill="1" applyBorder="1"/>
    <xf numFmtId="172" fontId="17" fillId="3" borderId="7" xfId="2" applyNumberFormat="1" applyFont="1" applyFill="1" applyBorder="1"/>
    <xf numFmtId="172" fontId="17" fillId="3" borderId="10" xfId="2" applyNumberFormat="1" applyFont="1" applyFill="1" applyBorder="1"/>
    <xf numFmtId="172" fontId="22" fillId="3" borderId="6" xfId="0" applyNumberFormat="1" applyFont="1" applyFill="1" applyBorder="1" applyAlignment="1">
      <alignment horizontal="right" vertical="center"/>
    </xf>
    <xf numFmtId="172" fontId="17" fillId="3" borderId="0" xfId="2" applyNumberFormat="1" applyFont="1" applyFill="1" applyBorder="1"/>
    <xf numFmtId="172" fontId="22" fillId="3" borderId="14" xfId="0" applyNumberFormat="1" applyFont="1" applyFill="1" applyBorder="1" applyAlignment="1">
      <alignment horizontal="right" vertical="center"/>
    </xf>
    <xf numFmtId="172" fontId="17" fillId="3" borderId="1" xfId="2" applyNumberFormat="1" applyFont="1" applyFill="1" applyBorder="1"/>
    <xf numFmtId="172" fontId="17" fillId="3" borderId="11" xfId="2" applyNumberFormat="1" applyFont="1" applyFill="1" applyBorder="1"/>
    <xf numFmtId="172" fontId="17" fillId="3" borderId="5" xfId="2" applyNumberFormat="1" applyFont="1" applyFill="1" applyBorder="1"/>
    <xf numFmtId="172" fontId="17" fillId="3" borderId="4" xfId="0" applyNumberFormat="1" applyFont="1" applyFill="1" applyBorder="1"/>
    <xf numFmtId="0" fontId="21" fillId="3" borderId="11" xfId="0" applyFont="1" applyFill="1" applyBorder="1" applyAlignment="1">
      <alignment vertical="top" wrapText="1"/>
    </xf>
    <xf numFmtId="0" fontId="21" fillId="3" borderId="11" xfId="0" applyFont="1" applyFill="1" applyBorder="1" applyAlignment="1">
      <alignment horizontal="left" vertical="top" wrapText="1"/>
    </xf>
    <xf numFmtId="0" fontId="2" fillId="3" borderId="0" xfId="0" applyFont="1" applyFill="1"/>
    <xf numFmtId="0" fontId="5" fillId="3" borderId="6" xfId="0" applyFont="1" applyFill="1" applyBorder="1" applyAlignment="1">
      <alignment horizontal="left" vertical="top" wrapText="1"/>
    </xf>
    <xf numFmtId="0" fontId="7" fillId="3" borderId="2" xfId="0" applyFont="1" applyFill="1" applyBorder="1" applyAlignment="1">
      <alignment horizontal="center" vertical="center" wrapText="1"/>
    </xf>
    <xf numFmtId="17" fontId="49" fillId="3" borderId="10" xfId="0" applyNumberFormat="1" applyFont="1" applyFill="1" applyBorder="1" applyAlignment="1">
      <alignment horizontal="center" vertical="top" wrapText="1"/>
    </xf>
    <xf numFmtId="17" fontId="49" fillId="3" borderId="3" xfId="0" applyNumberFormat="1" applyFont="1" applyFill="1" applyBorder="1" applyAlignment="1">
      <alignment horizontal="center" vertical="top" wrapText="1"/>
    </xf>
    <xf numFmtId="165" fontId="49" fillId="3" borderId="13" xfId="0" applyNumberFormat="1" applyFont="1" applyFill="1" applyBorder="1" applyAlignment="1">
      <alignment horizontal="center" vertical="top" wrapText="1"/>
    </xf>
    <xf numFmtId="165" fontId="49" fillId="3" borderId="9" xfId="0" applyNumberFormat="1" applyFont="1" applyFill="1" applyBorder="1" applyAlignment="1">
      <alignment horizontal="center" vertical="top" wrapText="1"/>
    </xf>
    <xf numFmtId="171" fontId="17" fillId="3" borderId="11" xfId="0" applyNumberFormat="1" applyFont="1" applyFill="1" applyBorder="1" applyAlignment="1"/>
    <xf numFmtId="17" fontId="49" fillId="3" borderId="2" xfId="0" applyNumberFormat="1" applyFont="1" applyFill="1" applyBorder="1" applyAlignment="1">
      <alignment horizontal="center" vertical="top" wrapText="1"/>
    </xf>
    <xf numFmtId="171" fontId="17" fillId="3" borderId="1" xfId="0" applyNumberFormat="1" applyFont="1" applyFill="1" applyBorder="1" applyAlignment="1"/>
    <xf numFmtId="0" fontId="18" fillId="3" borderId="6" xfId="0" applyFont="1" applyFill="1" applyBorder="1" applyAlignment="1">
      <alignment horizontal="center" wrapText="1"/>
    </xf>
    <xf numFmtId="0" fontId="7" fillId="3" borderId="3" xfId="0" applyFont="1" applyFill="1" applyBorder="1" applyAlignment="1">
      <alignment horizontal="center" vertical="center" wrapText="1"/>
    </xf>
    <xf numFmtId="172" fontId="18" fillId="3" borderId="1" xfId="2" applyNumberFormat="1" applyFont="1" applyFill="1" applyBorder="1"/>
    <xf numFmtId="172" fontId="19" fillId="4" borderId="12" xfId="0" applyNumberFormat="1" applyFont="1" applyFill="1" applyBorder="1" applyAlignment="1" applyProtection="1">
      <alignment horizontal="right" vertical="center"/>
      <protection locked="0"/>
    </xf>
    <xf numFmtId="172" fontId="19" fillId="4" borderId="3" xfId="0" applyNumberFormat="1" applyFont="1" applyFill="1" applyBorder="1" applyAlignment="1" applyProtection="1">
      <alignment horizontal="right" vertical="center"/>
      <protection locked="0"/>
    </xf>
    <xf numFmtId="9" fontId="19" fillId="4" borderId="12" xfId="1" applyFont="1" applyFill="1" applyBorder="1" applyAlignment="1" applyProtection="1">
      <alignment horizontal="right" vertical="center"/>
      <protection locked="0"/>
    </xf>
    <xf numFmtId="9" fontId="19" fillId="4" borderId="0" xfId="1" applyFont="1" applyFill="1" applyBorder="1" applyAlignment="1" applyProtection="1">
      <alignment horizontal="right" vertical="center"/>
      <protection locked="0"/>
    </xf>
    <xf numFmtId="172" fontId="19" fillId="4" borderId="3" xfId="2" applyNumberFormat="1" applyFont="1" applyFill="1" applyBorder="1" applyProtection="1">
      <protection locked="0"/>
    </xf>
    <xf numFmtId="172" fontId="19" fillId="4" borderId="13" xfId="2" applyNumberFormat="1" applyFont="1" applyFill="1" applyBorder="1" applyProtection="1">
      <protection locked="0"/>
    </xf>
    <xf numFmtId="0" fontId="0" fillId="4" borderId="2" xfId="0" applyFill="1" applyBorder="1" applyProtection="1">
      <protection locked="0"/>
    </xf>
    <xf numFmtId="0" fontId="0" fillId="4" borderId="12" xfId="0" applyFill="1" applyBorder="1" applyProtection="1">
      <protection locked="0"/>
    </xf>
    <xf numFmtId="0" fontId="0" fillId="4" borderId="3" xfId="0" applyFill="1" applyBorder="1" applyProtection="1">
      <protection locked="0"/>
    </xf>
    <xf numFmtId="0" fontId="0" fillId="4" borderId="7" xfId="0" applyFill="1" applyBorder="1" applyProtection="1">
      <protection locked="0"/>
    </xf>
    <xf numFmtId="0" fontId="0" fillId="4" borderId="15" xfId="0" applyFill="1" applyBorder="1" applyProtection="1">
      <protection locked="0"/>
    </xf>
    <xf numFmtId="170" fontId="42" fillId="4" borderId="2" xfId="0" applyNumberFormat="1" applyFont="1" applyFill="1" applyBorder="1" applyAlignment="1" applyProtection="1">
      <alignment vertical="center" wrapText="1"/>
      <protection locked="0"/>
    </xf>
    <xf numFmtId="170" fontId="19" fillId="4" borderId="12" xfId="0" applyNumberFormat="1" applyFont="1" applyFill="1" applyBorder="1" applyAlignment="1" applyProtection="1">
      <alignment vertical="center" wrapText="1"/>
      <protection locked="0"/>
    </xf>
    <xf numFmtId="170" fontId="19" fillId="4" borderId="3" xfId="0" applyNumberFormat="1" applyFont="1" applyFill="1" applyBorder="1" applyAlignment="1" applyProtection="1">
      <alignment vertical="center" wrapText="1"/>
      <protection locked="0"/>
    </xf>
    <xf numFmtId="170" fontId="19" fillId="4" borderId="2" xfId="0" applyNumberFormat="1" applyFont="1" applyFill="1" applyBorder="1" applyAlignment="1" applyProtection="1">
      <alignment vertical="center" wrapText="1"/>
      <protection locked="0"/>
    </xf>
    <xf numFmtId="170" fontId="19" fillId="4" borderId="1" xfId="0" applyNumberFormat="1" applyFont="1" applyFill="1" applyBorder="1" applyAlignment="1" applyProtection="1">
      <alignment vertical="center" wrapText="1"/>
      <protection locked="0"/>
    </xf>
    <xf numFmtId="43" fontId="44" fillId="3" borderId="1" xfId="2" applyFont="1" applyFill="1" applyBorder="1" applyAlignment="1">
      <alignment vertical="center" wrapText="1"/>
    </xf>
    <xf numFmtId="168" fontId="19" fillId="4" borderId="1" xfId="2" applyNumberFormat="1" applyFont="1" applyFill="1" applyBorder="1" applyProtection="1">
      <protection locked="0"/>
    </xf>
    <xf numFmtId="172" fontId="19" fillId="4" borderId="11" xfId="2" applyNumberFormat="1" applyFont="1" applyFill="1" applyBorder="1" applyProtection="1">
      <protection locked="0"/>
    </xf>
    <xf numFmtId="173" fontId="48" fillId="4" borderId="1" xfId="0" applyNumberFormat="1" applyFont="1" applyFill="1" applyBorder="1" applyProtection="1">
      <protection locked="0"/>
    </xf>
    <xf numFmtId="172" fontId="19" fillId="4" borderId="13" xfId="0" applyNumberFormat="1" applyFont="1" applyFill="1" applyBorder="1" applyProtection="1">
      <protection locked="0"/>
    </xf>
    <xf numFmtId="0" fontId="13" fillId="4" borderId="6" xfId="0" applyFont="1" applyFill="1" applyBorder="1" applyAlignment="1" applyProtection="1">
      <alignment horizontal="left" vertical="top" wrapText="1"/>
      <protection locked="0"/>
    </xf>
    <xf numFmtId="171" fontId="19" fillId="4" borderId="2" xfId="2" applyNumberFormat="1" applyFont="1" applyFill="1" applyBorder="1" applyProtection="1">
      <protection locked="0"/>
    </xf>
    <xf numFmtId="171" fontId="19" fillId="4" borderId="10" xfId="0" applyNumberFormat="1" applyFont="1" applyFill="1" applyBorder="1" applyProtection="1">
      <protection locked="0"/>
    </xf>
    <xf numFmtId="171" fontId="19" fillId="4" borderId="10" xfId="2" applyNumberFormat="1" applyFont="1" applyFill="1" applyBorder="1" applyProtection="1">
      <protection locked="0"/>
    </xf>
    <xf numFmtId="0" fontId="13" fillId="4" borderId="14" xfId="0" applyFont="1" applyFill="1" applyBorder="1" applyAlignment="1" applyProtection="1">
      <alignment horizontal="left" vertical="top" wrapText="1"/>
      <protection locked="0"/>
    </xf>
    <xf numFmtId="171" fontId="19" fillId="4" borderId="12" xfId="2" applyNumberFormat="1" applyFont="1" applyFill="1" applyBorder="1" applyProtection="1">
      <protection locked="0"/>
    </xf>
    <xf numFmtId="171" fontId="19" fillId="4" borderId="0" xfId="0" applyNumberFormat="1" applyFont="1" applyFill="1" applyBorder="1" applyProtection="1">
      <protection locked="0"/>
    </xf>
    <xf numFmtId="171" fontId="19" fillId="4" borderId="0" xfId="2" applyNumberFormat="1" applyFont="1" applyFill="1" applyBorder="1" applyProtection="1">
      <protection locked="0"/>
    </xf>
    <xf numFmtId="0" fontId="13" fillId="4" borderId="8" xfId="0" applyFont="1" applyFill="1" applyBorder="1" applyAlignment="1" applyProtection="1">
      <alignment horizontal="left" vertical="top" wrapText="1"/>
      <protection locked="0"/>
    </xf>
    <xf numFmtId="171" fontId="19" fillId="4" borderId="3" xfId="2" applyNumberFormat="1" applyFont="1" applyFill="1" applyBorder="1" applyProtection="1">
      <protection locked="0"/>
    </xf>
    <xf numFmtId="171" fontId="19" fillId="4" borderId="13" xfId="0" applyNumberFormat="1" applyFont="1" applyFill="1" applyBorder="1" applyProtection="1">
      <protection locked="0"/>
    </xf>
    <xf numFmtId="171" fontId="19" fillId="4" borderId="13" xfId="2" applyNumberFormat="1" applyFont="1" applyFill="1" applyBorder="1" applyProtection="1">
      <protection locked="0"/>
    </xf>
    <xf numFmtId="0" fontId="25" fillId="5" borderId="0" xfId="0" applyFont="1" applyFill="1" applyAlignment="1" applyProtection="1">
      <alignment horizontal="centerContinuous"/>
    </xf>
    <xf numFmtId="0" fontId="0" fillId="5" borderId="0" xfId="0" applyFill="1" applyAlignment="1" applyProtection="1">
      <alignment horizontal="centerContinuous"/>
    </xf>
    <xf numFmtId="0" fontId="0" fillId="3" borderId="0" xfId="0" applyFill="1" applyProtection="1"/>
    <xf numFmtId="0" fontId="26" fillId="3" borderId="4" xfId="0" applyFont="1" applyFill="1" applyBorder="1" applyProtection="1"/>
    <xf numFmtId="0" fontId="26" fillId="3" borderId="11" xfId="0" applyFont="1" applyFill="1" applyBorder="1" applyProtection="1"/>
    <xf numFmtId="3" fontId="27" fillId="5" borderId="1" xfId="0" applyNumberFormat="1" applyFont="1" applyFill="1" applyBorder="1" applyAlignment="1" applyProtection="1">
      <alignment vertical="center"/>
    </xf>
    <xf numFmtId="0" fontId="32" fillId="3" borderId="0" xfId="0" applyFont="1" applyFill="1" applyAlignment="1" applyProtection="1">
      <alignment horizontal="center" vertical="center"/>
    </xf>
    <xf numFmtId="1" fontId="32" fillId="3" borderId="1" xfId="2" applyNumberFormat="1" applyFont="1" applyFill="1" applyBorder="1" applyAlignment="1" applyProtection="1">
      <alignment horizontal="center" vertical="center" wrapText="1"/>
    </xf>
    <xf numFmtId="1" fontId="16" fillId="3" borderId="1" xfId="2" applyNumberFormat="1" applyFont="1" applyFill="1" applyBorder="1" applyAlignment="1" applyProtection="1">
      <alignment horizontal="center" vertical="center"/>
    </xf>
    <xf numFmtId="1" fontId="38" fillId="3" borderId="0" xfId="2" applyNumberFormat="1" applyFont="1" applyFill="1" applyBorder="1" applyAlignment="1" applyProtection="1">
      <alignment horizontal="center"/>
    </xf>
    <xf numFmtId="0" fontId="47" fillId="3" borderId="1" xfId="0" applyFont="1" applyFill="1" applyBorder="1" applyAlignment="1" applyProtection="1">
      <alignment wrapText="1"/>
    </xf>
    <xf numFmtId="1" fontId="29" fillId="3" borderId="1" xfId="2" applyNumberFormat="1" applyFont="1" applyFill="1" applyBorder="1" applyAlignment="1" applyProtection="1">
      <alignment horizontal="center" vertical="center"/>
    </xf>
    <xf numFmtId="164" fontId="29" fillId="5" borderId="0" xfId="2" applyNumberFormat="1" applyFont="1" applyFill="1" applyBorder="1" applyProtection="1"/>
    <xf numFmtId="0" fontId="28" fillId="6" borderId="8" xfId="0" applyFont="1" applyFill="1" applyBorder="1" applyAlignment="1" applyProtection="1">
      <alignment horizontal="right"/>
    </xf>
    <xf numFmtId="1" fontId="28" fillId="6" borderId="13" xfId="2" applyNumberFormat="1" applyFont="1" applyFill="1" applyBorder="1" applyAlignment="1" applyProtection="1">
      <alignment horizontal="right"/>
    </xf>
    <xf numFmtId="0" fontId="27" fillId="3" borderId="2" xfId="0" applyFont="1" applyFill="1" applyBorder="1" applyAlignment="1" applyProtection="1">
      <alignment horizontal="left"/>
    </xf>
    <xf numFmtId="0" fontId="27" fillId="3" borderId="12" xfId="0" applyFont="1" applyFill="1" applyBorder="1" applyAlignment="1" applyProtection="1">
      <alignment horizontal="left"/>
    </xf>
    <xf numFmtId="167" fontId="33" fillId="3" borderId="0" xfId="1" applyNumberFormat="1" applyFont="1" applyFill="1" applyProtection="1"/>
    <xf numFmtId="42" fontId="29" fillId="3" borderId="12" xfId="0" applyNumberFormat="1" applyFont="1" applyFill="1" applyBorder="1" applyAlignment="1" applyProtection="1">
      <alignment horizontal="left"/>
    </xf>
    <xf numFmtId="43" fontId="29" fillId="3" borderId="0" xfId="2" applyFont="1" applyFill="1" applyBorder="1" applyProtection="1"/>
    <xf numFmtId="43" fontId="34" fillId="3" borderId="0" xfId="2" applyFont="1" applyFill="1" applyBorder="1" applyProtection="1"/>
    <xf numFmtId="164" fontId="34" fillId="3" borderId="0" xfId="2" applyNumberFormat="1" applyFont="1" applyFill="1" applyBorder="1" applyProtection="1"/>
    <xf numFmtId="0" fontId="30" fillId="3" borderId="12" xfId="0" applyFont="1" applyFill="1" applyBorder="1" applyAlignment="1" applyProtection="1">
      <alignment horizontal="left"/>
    </xf>
    <xf numFmtId="42" fontId="29" fillId="5" borderId="12" xfId="0" applyNumberFormat="1" applyFont="1" applyFill="1" applyBorder="1" applyAlignment="1" applyProtection="1">
      <alignment horizontal="left"/>
    </xf>
    <xf numFmtId="43" fontId="29" fillId="5" borderId="0" xfId="2" applyFont="1" applyFill="1" applyBorder="1" applyProtection="1"/>
    <xf numFmtId="43" fontId="29" fillId="5" borderId="0" xfId="2" applyFont="1" applyFill="1" applyProtection="1"/>
    <xf numFmtId="3" fontId="16" fillId="3" borderId="12" xfId="0" applyNumberFormat="1" applyFont="1" applyFill="1" applyBorder="1" applyProtection="1"/>
    <xf numFmtId="42" fontId="29" fillId="3" borderId="12" xfId="0" applyNumberFormat="1" applyFont="1" applyFill="1" applyBorder="1" applyProtection="1"/>
    <xf numFmtId="164" fontId="29" fillId="3" borderId="0" xfId="2" applyNumberFormat="1" applyFont="1" applyFill="1" applyBorder="1" applyProtection="1"/>
    <xf numFmtId="167" fontId="29" fillId="3" borderId="0" xfId="1" applyNumberFormat="1" applyFont="1" applyFill="1" applyBorder="1" applyProtection="1"/>
    <xf numFmtId="42" fontId="29" fillId="3" borderId="3" xfId="0" applyNumberFormat="1" applyFont="1" applyFill="1" applyBorder="1" applyProtection="1"/>
    <xf numFmtId="0" fontId="32" fillId="3" borderId="1" xfId="0" applyFont="1" applyFill="1" applyBorder="1" applyAlignment="1" applyProtection="1">
      <alignment horizontal="center" vertical="center"/>
    </xf>
    <xf numFmtId="1" fontId="16" fillId="3" borderId="0" xfId="2" applyNumberFormat="1" applyFont="1" applyFill="1" applyBorder="1" applyAlignment="1" applyProtection="1">
      <alignment horizontal="center" vertical="center"/>
    </xf>
    <xf numFmtId="0" fontId="0" fillId="0" borderId="0" xfId="0" applyProtection="1"/>
    <xf numFmtId="37" fontId="27" fillId="3" borderId="2" xfId="0" applyNumberFormat="1" applyFont="1" applyFill="1" applyBorder="1" applyProtection="1"/>
    <xf numFmtId="168" fontId="33" fillId="3" borderId="0" xfId="2" applyNumberFormat="1" applyFont="1" applyFill="1" applyBorder="1" applyProtection="1"/>
    <xf numFmtId="0" fontId="16" fillId="3" borderId="12" xfId="2" applyNumberFormat="1" applyFont="1" applyFill="1" applyBorder="1" applyAlignment="1" applyProtection="1">
      <alignment horizontal="left"/>
    </xf>
    <xf numFmtId="44" fontId="29" fillId="5" borderId="12" xfId="0" applyNumberFormat="1" applyFont="1" applyFill="1" applyBorder="1" applyAlignment="1" applyProtection="1">
      <alignment horizontal="left"/>
    </xf>
    <xf numFmtId="164" fontId="29" fillId="5" borderId="0" xfId="2" applyNumberFormat="1" applyFont="1" applyFill="1" applyBorder="1" applyAlignment="1" applyProtection="1">
      <alignment horizontal="left"/>
    </xf>
    <xf numFmtId="0" fontId="16" fillId="5" borderId="12" xfId="0" applyFont="1" applyFill="1" applyBorder="1" applyAlignment="1" applyProtection="1">
      <alignment horizontal="left"/>
    </xf>
    <xf numFmtId="44" fontId="29" fillId="5" borderId="12" xfId="2" applyNumberFormat="1" applyFont="1" applyFill="1" applyBorder="1" applyAlignment="1" applyProtection="1">
      <alignment horizontal="left"/>
    </xf>
    <xf numFmtId="44" fontId="29" fillId="5" borderId="3" xfId="0" applyNumberFormat="1" applyFont="1" applyFill="1" applyBorder="1" applyAlignment="1" applyProtection="1">
      <alignment horizontal="left"/>
    </xf>
    <xf numFmtId="168" fontId="29" fillId="5" borderId="13" xfId="2" applyNumberFormat="1" applyFont="1" applyFill="1" applyBorder="1" applyAlignment="1" applyProtection="1">
      <alignment horizontal="left"/>
    </xf>
    <xf numFmtId="3" fontId="27" fillId="5" borderId="3" xfId="0" applyNumberFormat="1" applyFont="1" applyFill="1" applyBorder="1" applyProtection="1"/>
    <xf numFmtId="1" fontId="29" fillId="5" borderId="9" xfId="2" applyNumberFormat="1" applyFont="1" applyFill="1" applyBorder="1" applyAlignment="1" applyProtection="1">
      <alignment horizontal="center"/>
    </xf>
    <xf numFmtId="164" fontId="29" fillId="5" borderId="3" xfId="2" applyNumberFormat="1" applyFont="1" applyFill="1" applyBorder="1" applyAlignment="1" applyProtection="1">
      <alignment horizontal="center" wrapText="1"/>
    </xf>
    <xf numFmtId="164" fontId="33" fillId="3" borderId="0" xfId="2" applyNumberFormat="1" applyFont="1" applyFill="1" applyBorder="1" applyProtection="1"/>
    <xf numFmtId="164" fontId="29" fillId="5" borderId="0" xfId="2" applyNumberFormat="1" applyFont="1" applyFill="1" applyProtection="1"/>
    <xf numFmtId="3" fontId="27" fillId="7" borderId="12" xfId="0" applyNumberFormat="1" applyFont="1" applyFill="1" applyBorder="1" applyProtection="1"/>
    <xf numFmtId="3" fontId="35" fillId="7" borderId="15" xfId="0" applyNumberFormat="1" applyFont="1" applyFill="1" applyBorder="1" applyAlignment="1" applyProtection="1">
      <alignment horizontal="right"/>
    </xf>
    <xf numFmtId="43" fontId="29" fillId="3" borderId="12" xfId="0" applyNumberFormat="1" applyFont="1" applyFill="1" applyBorder="1" applyProtection="1"/>
    <xf numFmtId="43" fontId="29" fillId="3" borderId="12" xfId="0" applyNumberFormat="1" applyFont="1" applyFill="1" applyBorder="1" applyAlignment="1" applyProtection="1">
      <alignment horizontal="left"/>
    </xf>
    <xf numFmtId="43" fontId="29" fillId="3" borderId="3" xfId="0" applyNumberFormat="1" applyFont="1" applyFill="1" applyBorder="1" applyAlignment="1" applyProtection="1">
      <alignment horizontal="left"/>
    </xf>
    <xf numFmtId="43" fontId="29" fillId="5" borderId="2" xfId="0" applyNumberFormat="1" applyFont="1" applyFill="1" applyBorder="1" applyAlignment="1" applyProtection="1">
      <alignment horizontal="left"/>
    </xf>
    <xf numFmtId="43" fontId="29" fillId="5" borderId="12" xfId="0" applyNumberFormat="1" applyFont="1" applyFill="1" applyBorder="1" applyAlignment="1" applyProtection="1">
      <alignment horizontal="left"/>
    </xf>
    <xf numFmtId="164" fontId="29" fillId="3" borderId="0" xfId="2" applyNumberFormat="1" applyFont="1" applyFill="1" applyProtection="1"/>
    <xf numFmtId="169" fontId="29" fillId="3" borderId="0" xfId="2" applyNumberFormat="1" applyFont="1" applyFill="1" applyBorder="1" applyAlignment="1" applyProtection="1">
      <alignment horizontal="left"/>
    </xf>
    <xf numFmtId="43" fontId="29" fillId="5" borderId="3" xfId="0" applyNumberFormat="1" applyFont="1" applyFill="1" applyBorder="1" applyAlignment="1" applyProtection="1">
      <alignment horizontal="left"/>
    </xf>
    <xf numFmtId="168" fontId="29" fillId="3" borderId="13" xfId="2" applyNumberFormat="1" applyFont="1" applyFill="1" applyBorder="1" applyProtection="1"/>
    <xf numFmtId="3" fontId="27" fillId="3" borderId="3" xfId="0" applyNumberFormat="1" applyFont="1" applyFill="1" applyBorder="1" applyProtection="1"/>
    <xf numFmtId="0" fontId="31" fillId="6" borderId="3" xfId="0" applyFont="1" applyFill="1" applyBorder="1" applyAlignment="1" applyProtection="1">
      <alignment horizontal="left"/>
    </xf>
    <xf numFmtId="1" fontId="36" fillId="6" borderId="13" xfId="2" applyNumberFormat="1" applyFont="1" applyFill="1" applyBorder="1" applyAlignment="1" applyProtection="1">
      <alignment horizontal="right"/>
    </xf>
    <xf numFmtId="0" fontId="30" fillId="5" borderId="1" xfId="0" applyFont="1" applyFill="1" applyBorder="1" applyProtection="1"/>
    <xf numFmtId="164" fontId="29" fillId="5" borderId="11" xfId="2" applyNumberFormat="1" applyFont="1" applyFill="1" applyBorder="1" applyProtection="1"/>
    <xf numFmtId="42" fontId="29" fillId="5" borderId="12" xfId="0" applyNumberFormat="1" applyFont="1" applyFill="1" applyBorder="1" applyProtection="1"/>
    <xf numFmtId="168" fontId="29" fillId="5" borderId="0" xfId="2" applyNumberFormat="1" applyFont="1" applyFill="1" applyProtection="1"/>
    <xf numFmtId="0" fontId="30" fillId="5" borderId="3" xfId="0" applyFont="1" applyFill="1" applyBorder="1" applyProtection="1"/>
    <xf numFmtId="164" fontId="29" fillId="5" borderId="13" xfId="2" applyNumberFormat="1" applyFont="1" applyFill="1" applyBorder="1" applyProtection="1"/>
    <xf numFmtId="164" fontId="29" fillId="5" borderId="0" xfId="1" applyNumberFormat="1" applyFont="1" applyFill="1" applyProtection="1"/>
    <xf numFmtId="164" fontId="15" fillId="5" borderId="13" xfId="2" applyNumberFormat="1" applyFont="1" applyFill="1" applyBorder="1" applyProtection="1"/>
    <xf numFmtId="43" fontId="29" fillId="5" borderId="12" xfId="0" applyNumberFormat="1" applyFont="1" applyFill="1" applyBorder="1" applyProtection="1"/>
    <xf numFmtId="169" fontId="29" fillId="5" borderId="0" xfId="2" applyNumberFormat="1" applyFont="1" applyFill="1" applyBorder="1" applyProtection="1"/>
    <xf numFmtId="3" fontId="30" fillId="5" borderId="2" xfId="0" applyNumberFormat="1" applyFont="1" applyFill="1" applyBorder="1" applyProtection="1"/>
    <xf numFmtId="164" fontId="29" fillId="5" borderId="10" xfId="2" applyNumberFormat="1" applyFont="1" applyFill="1" applyBorder="1" applyProtection="1"/>
    <xf numFmtId="42" fontId="15" fillId="3" borderId="3" xfId="0" applyNumberFormat="1" applyFont="1" applyFill="1" applyBorder="1" applyProtection="1"/>
    <xf numFmtId="3" fontId="30" fillId="5" borderId="3" xfId="0" applyNumberFormat="1" applyFont="1" applyFill="1" applyBorder="1" applyProtection="1"/>
    <xf numFmtId="168" fontId="29" fillId="3" borderId="0" xfId="2" applyNumberFormat="1" applyFont="1" applyFill="1" applyBorder="1" applyProtection="1"/>
    <xf numFmtId="43" fontId="29" fillId="3" borderId="3" xfId="0" applyNumberFormat="1" applyFont="1" applyFill="1" applyBorder="1" applyProtection="1"/>
    <xf numFmtId="0" fontId="30" fillId="3" borderId="12" xfId="0" applyFont="1" applyFill="1" applyBorder="1" applyProtection="1"/>
    <xf numFmtId="3" fontId="30" fillId="3" borderId="12" xfId="0" applyNumberFormat="1" applyFont="1" applyFill="1" applyBorder="1" applyProtection="1"/>
    <xf numFmtId="3" fontId="30" fillId="3" borderId="3" xfId="0" applyNumberFormat="1" applyFont="1" applyFill="1" applyBorder="1" applyProtection="1"/>
    <xf numFmtId="3" fontId="27" fillId="3" borderId="1" xfId="0" applyNumberFormat="1" applyFont="1" applyFill="1" applyBorder="1" applyProtection="1"/>
    <xf numFmtId="168" fontId="37" fillId="7" borderId="0" xfId="2" applyNumberFormat="1" applyFont="1" applyFill="1" applyAlignment="1" applyProtection="1">
      <alignment horizontal="right"/>
    </xf>
    <xf numFmtId="3" fontId="30" fillId="3" borderId="2" xfId="0" applyNumberFormat="1" applyFont="1" applyFill="1" applyBorder="1" applyProtection="1"/>
    <xf numFmtId="164" fontId="15" fillId="5" borderId="10" xfId="2" applyNumberFormat="1" applyFont="1" applyFill="1" applyBorder="1" applyProtection="1"/>
    <xf numFmtId="44" fontId="29" fillId="3" borderId="2" xfId="0" applyNumberFormat="1" applyFont="1" applyFill="1" applyBorder="1" applyProtection="1"/>
    <xf numFmtId="0" fontId="30" fillId="3" borderId="12" xfId="0" applyNumberFormat="1" applyFont="1" applyFill="1" applyBorder="1" applyProtection="1"/>
    <xf numFmtId="42" fontId="29" fillId="3" borderId="2" xfId="0" applyNumberFormat="1" applyFont="1" applyFill="1" applyBorder="1" applyProtection="1"/>
    <xf numFmtId="168" fontId="29" fillId="5" borderId="10" xfId="2" applyNumberFormat="1" applyFont="1" applyFill="1" applyBorder="1" applyProtection="1"/>
    <xf numFmtId="43" fontId="29" fillId="3" borderId="13" xfId="2" applyFont="1" applyFill="1" applyBorder="1" applyProtection="1"/>
    <xf numFmtId="0" fontId="43" fillId="3" borderId="1" xfId="0" applyFont="1" applyFill="1" applyBorder="1" applyProtection="1"/>
    <xf numFmtId="0" fontId="41" fillId="3" borderId="0" xfId="0" applyFont="1" applyFill="1" applyProtection="1"/>
    <xf numFmtId="0" fontId="40" fillId="4" borderId="2" xfId="0" applyFont="1" applyFill="1" applyBorder="1" applyProtection="1"/>
    <xf numFmtId="0" fontId="8" fillId="3" borderId="3" xfId="0" applyFont="1" applyFill="1" applyBorder="1" applyProtection="1"/>
    <xf numFmtId="43" fontId="39" fillId="4" borderId="1" xfId="2" applyFont="1" applyFill="1" applyBorder="1" applyProtection="1">
      <protection locked="0"/>
    </xf>
    <xf numFmtId="167" fontId="39" fillId="4" borderId="1" xfId="1" applyNumberFormat="1" applyFont="1" applyFill="1" applyBorder="1" applyProtection="1">
      <protection locked="0"/>
    </xf>
    <xf numFmtId="167" fontId="39" fillId="4" borderId="0" xfId="1" applyNumberFormat="1" applyFont="1" applyFill="1" applyProtection="1">
      <protection locked="0"/>
    </xf>
    <xf numFmtId="9" fontId="39" fillId="4" borderId="0" xfId="1" applyFont="1" applyFill="1" applyBorder="1" applyProtection="1">
      <protection locked="0"/>
    </xf>
    <xf numFmtId="43" fontId="39" fillId="4" borderId="0" xfId="2" applyFont="1" applyFill="1" applyBorder="1" applyProtection="1">
      <protection locked="0"/>
    </xf>
    <xf numFmtId="9" fontId="39" fillId="4" borderId="13" xfId="1" applyFont="1" applyFill="1" applyBorder="1" applyProtection="1">
      <protection locked="0"/>
    </xf>
    <xf numFmtId="164" fontId="39" fillId="4" borderId="8" xfId="2" applyNumberFormat="1" applyFont="1" applyFill="1" applyBorder="1" applyProtection="1">
      <protection locked="0"/>
    </xf>
    <xf numFmtId="164" fontId="39" fillId="4" borderId="13" xfId="2" applyNumberFormat="1" applyFont="1" applyFill="1" applyBorder="1" applyProtection="1">
      <protection locked="0"/>
    </xf>
    <xf numFmtId="9" fontId="39" fillId="4" borderId="0" xfId="1" applyFont="1" applyFill="1" applyProtection="1">
      <protection locked="0"/>
    </xf>
    <xf numFmtId="169" fontId="39" fillId="4" borderId="13" xfId="2" applyNumberFormat="1" applyFont="1" applyFill="1" applyBorder="1" applyProtection="1">
      <protection locked="0"/>
    </xf>
    <xf numFmtId="164" fontId="33" fillId="4" borderId="0" xfId="2" applyNumberFormat="1" applyFont="1" applyFill="1" applyBorder="1" applyProtection="1">
      <protection locked="0"/>
    </xf>
    <xf numFmtId="168" fontId="33" fillId="4" borderId="0" xfId="2" applyNumberFormat="1" applyFont="1" applyFill="1" applyProtection="1">
      <protection locked="0"/>
    </xf>
    <xf numFmtId="168" fontId="33" fillId="4" borderId="13" xfId="2" applyNumberFormat="1" applyFont="1" applyFill="1" applyBorder="1" applyProtection="1">
      <protection locked="0"/>
    </xf>
    <xf numFmtId="171" fontId="39" fillId="4" borderId="11" xfId="0" applyNumberFormat="1" applyFont="1" applyFill="1" applyBorder="1" applyProtection="1">
      <protection locked="0"/>
    </xf>
    <xf numFmtId="17" fontId="50" fillId="3" borderId="9" xfId="0" applyNumberFormat="1" applyFont="1" applyFill="1" applyBorder="1" applyAlignment="1">
      <alignment horizontal="center"/>
    </xf>
    <xf numFmtId="17" fontId="50" fillId="3" borderId="13" xfId="0" applyNumberFormat="1" applyFont="1" applyFill="1" applyBorder="1" applyAlignment="1">
      <alignment horizontal="center"/>
    </xf>
    <xf numFmtId="1" fontId="50" fillId="3" borderId="13" xfId="0" applyNumberFormat="1" applyFont="1" applyFill="1" applyBorder="1" applyAlignment="1">
      <alignment horizontal="center"/>
    </xf>
    <xf numFmtId="1" fontId="50" fillId="3" borderId="9" xfId="0" applyNumberFormat="1" applyFont="1" applyFill="1" applyBorder="1" applyAlignment="1">
      <alignment horizontal="center"/>
    </xf>
    <xf numFmtId="0" fontId="14" fillId="4" borderId="10" xfId="0" applyFont="1" applyFill="1" applyBorder="1" applyAlignment="1" applyProtection="1">
      <protection locked="0"/>
    </xf>
    <xf numFmtId="0" fontId="18" fillId="3" borderId="10" xfId="0" applyFont="1" applyFill="1" applyBorder="1" applyAlignment="1"/>
    <xf numFmtId="0" fontId="2" fillId="3" borderId="6" xfId="0" applyFont="1" applyFill="1" applyBorder="1" applyAlignment="1"/>
    <xf numFmtId="0" fontId="2" fillId="3" borderId="14" xfId="0" applyFont="1" applyFill="1" applyBorder="1" applyAlignment="1"/>
    <xf numFmtId="0" fontId="13" fillId="4" borderId="0" xfId="0" applyFont="1" applyFill="1" applyBorder="1" applyAlignment="1" applyProtection="1">
      <protection locked="0"/>
    </xf>
    <xf numFmtId="0" fontId="17" fillId="3" borderId="0" xfId="0" applyFont="1" applyFill="1" applyBorder="1" applyAlignment="1"/>
    <xf numFmtId="0" fontId="17" fillId="3" borderId="15" xfId="0" applyFont="1" applyFill="1" applyBorder="1"/>
    <xf numFmtId="0" fontId="18" fillId="3" borderId="0" xfId="0" applyFont="1" applyFill="1" applyBorder="1" applyAlignment="1"/>
    <xf numFmtId="0" fontId="17" fillId="3" borderId="15" xfId="0" applyFont="1" applyFill="1" applyBorder="1" applyAlignment="1">
      <alignment horizontal="center"/>
    </xf>
    <xf numFmtId="0" fontId="2" fillId="3" borderId="14" xfId="0" applyFont="1" applyFill="1" applyBorder="1" applyAlignment="1">
      <alignment wrapText="1"/>
    </xf>
    <xf numFmtId="0" fontId="2" fillId="3" borderId="14" xfId="0" applyFont="1" applyFill="1" applyBorder="1" applyAlignment="1">
      <alignment horizontal="left" wrapText="1"/>
    </xf>
    <xf numFmtId="0" fontId="14" fillId="4" borderId="0" xfId="0" applyFont="1" applyFill="1" applyBorder="1" applyAlignment="1" applyProtection="1">
      <alignment horizontal="center" wrapText="1"/>
      <protection locked="0"/>
    </xf>
    <xf numFmtId="0" fontId="46" fillId="0" borderId="12" xfId="0" applyFont="1" applyFill="1" applyBorder="1" applyAlignment="1">
      <alignment vertical="center"/>
    </xf>
    <xf numFmtId="0" fontId="2" fillId="3" borderId="15" xfId="0" applyFont="1" applyFill="1" applyBorder="1" applyAlignment="1">
      <alignment horizontal="center" wrapText="1"/>
    </xf>
    <xf numFmtId="0" fontId="2" fillId="3" borderId="8" xfId="0" applyFont="1" applyFill="1" applyBorder="1" applyAlignment="1"/>
    <xf numFmtId="169" fontId="29" fillId="5" borderId="0" xfId="2" applyNumberFormat="1" applyFont="1" applyFill="1" applyBorder="1" applyAlignment="1" applyProtection="1">
      <alignment horizontal="left"/>
    </xf>
    <xf numFmtId="0" fontId="51" fillId="4" borderId="13" xfId="0" applyFont="1" applyFill="1" applyBorder="1" applyAlignment="1" applyProtection="1">
      <alignment horizontal="center" wrapText="1"/>
      <protection locked="0"/>
    </xf>
    <xf numFmtId="172" fontId="19" fillId="4" borderId="1" xfId="2" applyNumberFormat="1" applyFont="1" applyFill="1" applyBorder="1" applyProtection="1">
      <protection locked="0"/>
    </xf>
    <xf numFmtId="172" fontId="19" fillId="4" borderId="11" xfId="0" applyNumberFormat="1" applyFont="1" applyFill="1" applyBorder="1" applyProtection="1">
      <protection locked="0"/>
    </xf>
    <xf numFmtId="0" fontId="0" fillId="3" borderId="0" xfId="0" applyFont="1" applyFill="1" applyBorder="1"/>
    <xf numFmtId="171" fontId="17" fillId="3" borderId="0" xfId="0" applyNumberFormat="1" applyFont="1" applyFill="1" applyBorder="1" applyAlignment="1"/>
    <xf numFmtId="2" fontId="17" fillId="3" borderId="0" xfId="0" applyNumberFormat="1" applyFont="1" applyFill="1" applyBorder="1" applyAlignment="1"/>
    <xf numFmtId="170" fontId="22" fillId="3" borderId="0" xfId="0" applyNumberFormat="1" applyFont="1" applyFill="1" applyBorder="1" applyAlignment="1">
      <alignment horizontal="right" vertical="center"/>
    </xf>
    <xf numFmtId="0" fontId="0" fillId="3" borderId="0" xfId="0" applyFill="1" applyBorder="1" applyProtection="1">
      <protection locked="0"/>
    </xf>
    <xf numFmtId="172" fontId="17" fillId="3" borderId="13" xfId="2" applyNumberFormat="1" applyFont="1" applyFill="1" applyBorder="1"/>
    <xf numFmtId="172" fontId="17" fillId="3" borderId="8" xfId="2" applyNumberFormat="1" applyFont="1" applyFill="1" applyBorder="1"/>
    <xf numFmtId="172" fontId="17" fillId="3" borderId="2" xfId="2" applyNumberFormat="1" applyFont="1" applyFill="1" applyBorder="1"/>
    <xf numFmtId="172" fontId="17" fillId="3" borderId="3" xfId="2" applyNumberFormat="1" applyFont="1" applyFill="1" applyBorder="1"/>
    <xf numFmtId="0" fontId="52" fillId="3" borderId="0" xfId="0" applyFont="1" applyFill="1" applyAlignment="1"/>
    <xf numFmtId="0" fontId="17" fillId="3" borderId="0" xfId="0" applyFont="1" applyFill="1" applyAlignment="1"/>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2" borderId="1" xfId="0" applyFont="1" applyFill="1" applyBorder="1" applyAlignment="1">
      <alignment horizontal="right" vertical="center"/>
    </xf>
    <xf numFmtId="0" fontId="3" fillId="0" borderId="1" xfId="0" applyFont="1" applyBorder="1" applyAlignment="1">
      <alignment horizontal="right" vertical="center" wrapText="1"/>
    </xf>
    <xf numFmtId="0" fontId="0" fillId="0" borderId="10" xfId="0" applyBorder="1" applyAlignment="1">
      <alignment horizontal="center"/>
    </xf>
    <xf numFmtId="0" fontId="4" fillId="0" borderId="4" xfId="0" applyFont="1" applyFill="1" applyBorder="1" applyAlignment="1">
      <alignment horizontal="right" vertical="center" wrapText="1"/>
    </xf>
    <xf numFmtId="0" fontId="4" fillId="0" borderId="11"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0" fillId="0" borderId="4" xfId="0" applyFont="1" applyBorder="1" applyAlignment="1">
      <alignment horizontal="right"/>
    </xf>
    <xf numFmtId="0" fontId="0" fillId="0" borderId="11" xfId="0" applyFont="1" applyBorder="1" applyAlignment="1">
      <alignment horizontal="right"/>
    </xf>
    <xf numFmtId="0" fontId="0" fillId="0" borderId="5" xfId="0" applyFont="1" applyBorder="1" applyAlignment="1">
      <alignment horizontal="right"/>
    </xf>
    <xf numFmtId="0" fontId="0" fillId="0" borderId="4" xfId="0" applyBorder="1" applyAlignment="1">
      <alignment horizontal="right"/>
    </xf>
    <xf numFmtId="0" fontId="0" fillId="0" borderId="11" xfId="0" applyBorder="1" applyAlignment="1">
      <alignment horizontal="right"/>
    </xf>
    <xf numFmtId="0" fontId="0" fillId="0" borderId="5" xfId="0" applyBorder="1" applyAlignment="1">
      <alignment horizontal="right"/>
    </xf>
    <xf numFmtId="0" fontId="4" fillId="0" borderId="1" xfId="0" applyFont="1" applyFill="1" applyBorder="1" applyAlignment="1">
      <alignment horizontal="right" vertical="center" wrapText="1"/>
    </xf>
    <xf numFmtId="0" fontId="2" fillId="0" borderId="1" xfId="0" applyFont="1" applyBorder="1" applyAlignment="1">
      <alignment horizontal="center" vertical="center"/>
    </xf>
    <xf numFmtId="0" fontId="52" fillId="3" borderId="0" xfId="0" applyFont="1" applyFill="1" applyAlignment="1">
      <alignment horizontal="center"/>
    </xf>
    <xf numFmtId="0" fontId="17" fillId="3" borderId="0" xfId="0" applyFont="1" applyFill="1" applyAlignment="1">
      <alignment horizontal="center"/>
    </xf>
    <xf numFmtId="0" fontId="5" fillId="3" borderId="4" xfId="0" applyFont="1" applyFill="1" applyBorder="1" applyAlignment="1">
      <alignment horizontal="left" vertical="top" wrapText="1"/>
    </xf>
    <xf numFmtId="0" fontId="5" fillId="3" borderId="11" xfId="0" applyFont="1" applyFill="1" applyBorder="1" applyAlignment="1">
      <alignment horizontal="left" vertical="top" wrapText="1"/>
    </xf>
    <xf numFmtId="0" fontId="24" fillId="4" borderId="0" xfId="3" applyFill="1" applyBorder="1" applyAlignment="1" applyProtection="1">
      <alignment horizontal="left" wrapText="1"/>
      <protection locked="0"/>
    </xf>
    <xf numFmtId="0" fontId="24" fillId="4" borderId="15" xfId="3" applyFill="1" applyBorder="1" applyAlignment="1" applyProtection="1">
      <alignment horizontal="left" wrapText="1"/>
      <protection locked="0"/>
    </xf>
    <xf numFmtId="0" fontId="6" fillId="3" borderId="0" xfId="0" applyFont="1" applyFill="1" applyBorder="1" applyAlignment="1">
      <alignment horizontal="left" wrapText="1"/>
    </xf>
    <xf numFmtId="0" fontId="2" fillId="3" borderId="14" xfId="0" applyFont="1" applyFill="1" applyBorder="1" applyAlignment="1">
      <alignment horizontal="center" vertical="top"/>
    </xf>
    <xf numFmtId="0" fontId="2" fillId="3" borderId="0" xfId="0" applyFont="1" applyFill="1" applyBorder="1" applyAlignment="1">
      <alignment horizontal="center" vertical="top"/>
    </xf>
    <xf numFmtId="0" fontId="2" fillId="3" borderId="10" xfId="0" applyFont="1" applyFill="1" applyBorder="1" applyAlignment="1">
      <alignment horizontal="center" vertical="top"/>
    </xf>
    <xf numFmtId="0" fontId="2" fillId="3" borderId="7" xfId="0" applyFont="1" applyFill="1" applyBorder="1" applyAlignment="1">
      <alignment horizontal="center" vertical="top"/>
    </xf>
    <xf numFmtId="0" fontId="23" fillId="3" borderId="13" xfId="0" applyFont="1" applyFill="1" applyBorder="1" applyAlignment="1">
      <alignment horizontal="center" wrapText="1"/>
    </xf>
    <xf numFmtId="0" fontId="23" fillId="3" borderId="9" xfId="0" applyFont="1" applyFill="1" applyBorder="1" applyAlignment="1">
      <alignment horizontal="center" wrapText="1"/>
    </xf>
    <xf numFmtId="0" fontId="18" fillId="3" borderId="13" xfId="0" applyFont="1" applyFill="1" applyBorder="1" applyAlignment="1">
      <alignment horizontal="center"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09445415805055"/>
          <c:y val="3.3261463255577023E-2"/>
          <c:w val="0.8765195800934904"/>
          <c:h val="0.8336926837221148"/>
        </c:manualLayout>
      </c:layout>
      <c:barChart>
        <c:barDir val="col"/>
        <c:grouping val="clustered"/>
        <c:varyColors val="0"/>
        <c:ser>
          <c:idx val="0"/>
          <c:order val="0"/>
          <c:spPr>
            <a:solidFill>
              <a:srgbClr val="4472C4"/>
            </a:solidFill>
            <a:ln>
              <a:noFill/>
            </a:ln>
            <a:effectLst/>
          </c:spPr>
          <c:invertIfNegative val="1"/>
          <c:cat>
            <c:strRef>
              <c:f>('Covid Impact Assessment'!$B$19,'Covid Impact Assessment'!$B$41,'Covid Impact Assessment'!$B$42,'Covid Impact Assessment'!$B$47,'Covid Impact Assessment'!$B$54,'Covid Impact Assessment'!$B$56,'Covid Impact Assessment'!$B$57,'Covid Impact Assessment'!$B$58)</c:f>
              <c:strCache>
                <c:ptCount val="8"/>
                <c:pt idx="0">
                  <c:v>Total Revenue (Plus/Minus) Transfers</c:v>
                </c:pt>
                <c:pt idx="1">
                  <c:v>Total Operating Costs</c:v>
                </c:pt>
                <c:pt idx="2">
                  <c:v>Interest Expense (if applicable)</c:v>
                </c:pt>
                <c:pt idx="3">
                  <c:v>PROFIT AFTER TAXES (assumes cash collections)</c:v>
                </c:pt>
                <c:pt idx="4">
                  <c:v>Principal Repayments</c:v>
                </c:pt>
                <c:pt idx="5">
                  <c:v>COVID-19 Related CAPEX Costs</c:v>
                </c:pt>
                <c:pt idx="6">
                  <c:v>Programmed Funding For Capex</c:v>
                </c:pt>
                <c:pt idx="7">
                  <c:v>Month End Cash Flow</c:v>
                </c:pt>
              </c:strCache>
            </c:strRef>
          </c:cat>
          <c:val>
            <c:numRef>
              <c:f>('Covid Impact Assessment'!$R$19,'Covid Impact Assessment'!$R$41,'Covid Impact Assessment'!$R$42,'Covid Impact Assessment'!$R$47,'Covid Impact Assessment'!$R$54,'Covid Impact Assessment'!$R$56,'Covid Impact Assessment'!$R$57,'Covid Impact Assessment'!$R$58)</c:f>
              <c:numCache>
                <c:formatCode>0.000;[Red]0.000</c:formatCode>
                <c:ptCount val="8"/>
                <c:pt idx="0">
                  <c:v>-16.150892198552164</c:v>
                </c:pt>
                <c:pt idx="1">
                  <c:v>7.6523933408555038</c:v>
                </c:pt>
                <c:pt idx="2">
                  <c:v>0</c:v>
                </c:pt>
                <c:pt idx="3">
                  <c:v>-23.323285539407674</c:v>
                </c:pt>
                <c:pt idx="4">
                  <c:v>0</c:v>
                </c:pt>
                <c:pt idx="5">
                  <c:v>0.55000000000000004</c:v>
                </c:pt>
                <c:pt idx="6">
                  <c:v>0</c:v>
                </c:pt>
                <c:pt idx="7">
                  <c:v>-23.873285539407675</c:v>
                </c:pt>
              </c:numCache>
            </c:numRef>
          </c:val>
          <c:extLst>
            <c:ext xmlns:c14="http://schemas.microsoft.com/office/drawing/2007/8/2/chart" uri="{6F2FDCE9-48DA-4B69-8628-5D25D57E5C99}">
              <c14:invertSolidFillFmt>
                <c14:spPr xmlns:c14="http://schemas.microsoft.com/office/drawing/2007/8/2/chart">
                  <a:solidFill>
                    <a:srgbClr val="FF0000"/>
                  </a:solidFill>
                  <a:ln>
                    <a:noFill/>
                  </a:ln>
                  <a:effectLst/>
                </c14:spPr>
              </c14:invertSolidFillFmt>
            </c:ext>
            <c:ext xmlns:c16="http://schemas.microsoft.com/office/drawing/2014/chart" uri="{C3380CC4-5D6E-409C-BE32-E72D297353CC}">
              <c16:uniqueId val="{00000000-A97C-460D-8FA5-3CA3CCC9172C}"/>
            </c:ext>
          </c:extLst>
        </c:ser>
        <c:dLbls>
          <c:showLegendKey val="0"/>
          <c:showVal val="0"/>
          <c:showCatName val="0"/>
          <c:showSerName val="0"/>
          <c:showPercent val="0"/>
          <c:showBubbleSize val="0"/>
        </c:dLbls>
        <c:gapWidth val="219"/>
        <c:overlap val="-27"/>
        <c:axId val="93628847"/>
        <c:axId val="91333391"/>
      </c:barChart>
      <c:catAx>
        <c:axId val="9362884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b" anchorCtr="0"/>
          <a:lstStyle/>
          <a:p>
            <a:pPr>
              <a:defRPr sz="1050" b="0" i="0" u="none" strike="noStrike" kern="1200" baseline="0">
                <a:solidFill>
                  <a:schemeClr val="tx1">
                    <a:lumMod val="65000"/>
                    <a:lumOff val="35000"/>
                  </a:schemeClr>
                </a:solidFill>
                <a:latin typeface="+mn-lt"/>
                <a:ea typeface="+mn-ea"/>
                <a:cs typeface="+mn-cs"/>
              </a:defRPr>
            </a:pPr>
            <a:endParaRPr lang="en-US"/>
          </a:p>
        </c:txPr>
        <c:crossAx val="91333391"/>
        <c:crosses val="autoZero"/>
        <c:auto val="1"/>
        <c:lblAlgn val="ctr"/>
        <c:lblOffset val="100"/>
        <c:noMultiLvlLbl val="0"/>
      </c:catAx>
      <c:valAx>
        <c:axId val="9133339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Red]0.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36288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95000"/>
          <a:lumOff val="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102657</xdr:colOff>
      <xdr:row>72</xdr:row>
      <xdr:rowOff>182740</xdr:rowOff>
    </xdr:from>
    <xdr:to>
      <xdr:col>18</xdr:col>
      <xdr:colOff>324908</xdr:colOff>
      <xdr:row>91</xdr:row>
      <xdr:rowOff>169333</xdr:rowOff>
    </xdr:to>
    <xdr:graphicFrame macro="">
      <xdr:nvGraphicFramePr>
        <xdr:cNvPr id="2" name="Chart 1">
          <a:extLst>
            <a:ext uri="{FF2B5EF4-FFF2-40B4-BE49-F238E27FC236}">
              <a16:creationId xmlns:a16="http://schemas.microsoft.com/office/drawing/2014/main" id="{F3FAFE12-D370-4BA1-86A4-9129847D2B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222250</xdr:colOff>
      <xdr:row>72</xdr:row>
      <xdr:rowOff>158751</xdr:rowOff>
    </xdr:from>
    <xdr:to>
      <xdr:col>6</xdr:col>
      <xdr:colOff>317500</xdr:colOff>
      <xdr:row>91</xdr:row>
      <xdr:rowOff>148167</xdr:rowOff>
    </xdr:to>
    <xdr:sp macro="" textlink="">
      <xdr:nvSpPr>
        <xdr:cNvPr id="4" name="Text Box 2">
          <a:extLst>
            <a:ext uri="{FF2B5EF4-FFF2-40B4-BE49-F238E27FC236}">
              <a16:creationId xmlns:a16="http://schemas.microsoft.com/office/drawing/2014/main" id="{A1008850-1CC5-4418-BB5E-B7295EB3ECFF}"/>
            </a:ext>
          </a:extLst>
        </xdr:cNvPr>
        <xdr:cNvSpPr txBox="1">
          <a:spLocks noChangeArrowheads="1"/>
        </xdr:cNvSpPr>
      </xdr:nvSpPr>
      <xdr:spPr bwMode="auto">
        <a:xfrm>
          <a:off x="222250" y="14742584"/>
          <a:ext cx="5619750" cy="360891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hangingPunct="1">
            <a:spcBef>
              <a:spcPts val="0"/>
            </a:spcBef>
            <a:spcAft>
              <a:spcPts val="0"/>
            </a:spcAft>
          </a:pPr>
          <a:r>
            <a:rPr lang="en-US" sz="900" i="1">
              <a:solidFill>
                <a:srgbClr val="000000"/>
              </a:solidFill>
              <a:effectLst/>
              <a:latin typeface="Calibri" panose="020F0502020204030204" pitchFamily="34" charset="0"/>
              <a:ea typeface="Times New Roman" panose="02020603050405020304" pitchFamily="18" charset="0"/>
            </a:rPr>
            <a:t>In response to the new demands that the Coronavirus has placed on Water Service Providers (WSPs) in emerging markets, the World Bank Water Global Practice, with support from the Global Water Security and Sanitation Partnership, has developed a simplified financial planning tool to help such WSPs quantify the financial impact on their operations and, make evidence-based justifications for additional  funding as a response to the pandemic to maintain and expand water resources during this critical period, regardless of the source of that additional funding.  </a:t>
          </a:r>
          <a:endParaRPr lang="en-US" sz="1000">
            <a:effectLst/>
            <a:latin typeface="Times New Roman" panose="02020603050405020304" pitchFamily="18" charset="0"/>
            <a:ea typeface="Times New Roman" panose="02020603050405020304" pitchFamily="18" charset="0"/>
          </a:endParaRPr>
        </a:p>
        <a:p>
          <a:pPr marL="0" marR="0" hangingPunct="1">
            <a:spcBef>
              <a:spcPts val="0"/>
            </a:spcBef>
            <a:spcAft>
              <a:spcPts val="0"/>
            </a:spcAft>
          </a:pPr>
          <a:r>
            <a:rPr lang="en-US" sz="900">
              <a:solidFill>
                <a:srgbClr val="000000"/>
              </a:solidFill>
              <a:effectLst/>
              <a:latin typeface="Calibri" panose="020F050202020403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hangingPunct="1">
            <a:spcBef>
              <a:spcPts val="0"/>
            </a:spcBef>
            <a:spcAft>
              <a:spcPts val="0"/>
            </a:spcAft>
          </a:pPr>
          <a:r>
            <a:rPr lang="en-US" sz="900" i="1">
              <a:solidFill>
                <a:srgbClr val="000000"/>
              </a:solidFill>
              <a:effectLst/>
              <a:latin typeface="Calibri" panose="020F0502020204030204" pitchFamily="34" charset="0"/>
              <a:ea typeface="Times New Roman" panose="02020603050405020304" pitchFamily="18" charset="0"/>
            </a:rPr>
            <a:t>The financial planning tool has been specifically designed for the stated objective and may not conform to more customized financial models that would be used by a WSP to develop long-term projections for project financing or other purposes.  Moreover, the tool has been designed to allow most WSPs to be able to use it for the intended objective.  As such, it has been purposely simplified.  If existing financial models or other instruments can help quantify the financial impact of the pandemic on water service operations, they can be used, as this is not intended to be the only tool. </a:t>
          </a:r>
          <a:endParaRPr lang="en-US" sz="1000">
            <a:effectLst/>
            <a:latin typeface="Times New Roman" panose="02020603050405020304" pitchFamily="18" charset="0"/>
            <a:ea typeface="Times New Roman" panose="02020603050405020304" pitchFamily="18" charset="0"/>
          </a:endParaRPr>
        </a:p>
        <a:p>
          <a:pPr marL="0" marR="0" hangingPunct="1">
            <a:spcBef>
              <a:spcPts val="0"/>
            </a:spcBef>
            <a:spcAft>
              <a:spcPts val="0"/>
            </a:spcAft>
          </a:pPr>
          <a:r>
            <a:rPr lang="en-US" sz="900">
              <a:solidFill>
                <a:srgbClr val="000000"/>
              </a:solidFill>
              <a:effectLst/>
              <a:latin typeface="Calibri" panose="020F0502020204030204" pitchFamily="34" charset="0"/>
              <a:ea typeface="Times New Roman" panose="02020603050405020304" pitchFamily="18" charset="0"/>
            </a:rPr>
            <a:t> </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marL="0" marR="0" hangingPunct="1">
            <a:spcBef>
              <a:spcPts val="0"/>
            </a:spcBef>
            <a:spcAft>
              <a:spcPts val="0"/>
            </a:spcAft>
          </a:pPr>
          <a:r>
            <a:rPr lang="en-US" sz="900" i="1">
              <a:solidFill>
                <a:srgbClr val="000000"/>
              </a:solidFill>
              <a:effectLst/>
              <a:latin typeface="Calibri" panose="020F0502020204030204" pitchFamily="34" charset="0"/>
              <a:ea typeface="Times New Roman" panose="02020603050405020304" pitchFamily="18" charset="0"/>
            </a:rPr>
            <a:t>The tool is intended for a 12-month projection period, and it can be updated monthly or when information on revenue and operating expenses become available.  If the impact of the pandemic on operations runs longer than 12-months, an update could be made for the following year or other, more sophisticated models should be considered. </a:t>
          </a:r>
          <a:endParaRPr lang="en-US" sz="1000">
            <a:effectLst/>
            <a:latin typeface="Times New Roman" panose="02020603050405020304" pitchFamily="18" charset="0"/>
            <a:ea typeface="Times New Roman" panose="02020603050405020304" pitchFamily="18" charset="0"/>
          </a:endParaRPr>
        </a:p>
        <a:p>
          <a:pPr marL="0" marR="0" hangingPunct="1">
            <a:spcBef>
              <a:spcPts val="0"/>
            </a:spcBef>
            <a:spcAft>
              <a:spcPts val="0"/>
            </a:spcAft>
          </a:pPr>
          <a:r>
            <a:rPr lang="en-US" sz="900">
              <a:effectLst/>
              <a:latin typeface="Calibri" panose="020F050202020403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hangingPunct="1">
            <a:spcBef>
              <a:spcPts val="0"/>
            </a:spcBef>
            <a:spcAft>
              <a:spcPts val="0"/>
            </a:spcAft>
          </a:pPr>
          <a:r>
            <a:rPr lang="en-US" sz="900" i="1">
              <a:solidFill>
                <a:srgbClr val="000000"/>
              </a:solidFill>
              <a:effectLst/>
              <a:latin typeface="Calibri" panose="020F0502020204030204" pitchFamily="34" charset="0"/>
              <a:ea typeface="Times New Roman" panose="02020603050405020304" pitchFamily="18" charset="0"/>
            </a:rPr>
            <a:t>Finally, this tool is the product of the World Bank staff with external contributions and is subject to copyright. Any findings, interpretations, and conclusions derived from this tool do not necessarily reflect the views of the World Bank, its Board of Executive Directors, or the governments they represent. Because the World Bank encourages dissemination of its knowledge, this tool is made available for public use as long as full attribution to the World Bank is given. Users are strongly encouraged to provide feedback on the tool itself and the major findings resulting from the tool.  It is recognized that some organizations may want to customize a version of the model for more detailed analysis.  For any of these points, please contact Aileen Castro (</a:t>
          </a:r>
          <a:r>
            <a:rPr lang="en-US" sz="900" i="1" u="sng">
              <a:solidFill>
                <a:srgbClr val="0000FF"/>
              </a:solidFill>
              <a:effectLst/>
              <a:latin typeface="Calibri" panose="020F0502020204030204" pitchFamily="34" charset="0"/>
              <a:ea typeface="Times New Roman" panose="02020603050405020304" pitchFamily="18" charset="0"/>
            </a:rPr>
            <a:t>acastro2@worldbank.org</a:t>
          </a:r>
          <a:r>
            <a:rPr lang="en-US" sz="900" i="1" u="sng">
              <a:solidFill>
                <a:srgbClr val="000000"/>
              </a:solidFill>
              <a:effectLst/>
              <a:latin typeface="Calibri" panose="020F0502020204030204" pitchFamily="34" charset="0"/>
              <a:ea typeface="Times New Roman" panose="02020603050405020304" pitchFamily="18" charset="0"/>
            </a:rPr>
            <a:t>) </a:t>
          </a:r>
          <a:r>
            <a:rPr lang="en-US" sz="900" i="1">
              <a:solidFill>
                <a:srgbClr val="000000"/>
              </a:solidFill>
              <a:effectLst/>
              <a:latin typeface="Calibri" panose="020F0502020204030204" pitchFamily="34" charset="0"/>
              <a:ea typeface="Times New Roman" panose="02020603050405020304" pitchFamily="18" charset="0"/>
            </a:rPr>
            <a:t>at the World Bank for further information and discussion. </a:t>
          </a:r>
          <a:endParaRPr lang="en-US" sz="1000">
            <a:effectLst/>
            <a:latin typeface="Times New Roman" panose="02020603050405020304" pitchFamily="18" charset="0"/>
            <a:ea typeface="Times New Roman" panose="02020603050405020304" pitchFamily="18" charset="0"/>
          </a:endParaRPr>
        </a:p>
        <a:p>
          <a:pPr marL="0" marR="0" hangingPunct="1">
            <a:lnSpc>
              <a:spcPct val="107000"/>
            </a:lnSpc>
            <a:spcBef>
              <a:spcPts val="0"/>
            </a:spcBef>
            <a:spcAft>
              <a:spcPts val="800"/>
            </a:spcAft>
          </a:pPr>
          <a:r>
            <a:rPr lang="en-US" sz="9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hangingPunct="0">
            <a:spcBef>
              <a:spcPts val="0"/>
            </a:spcBef>
            <a:spcAft>
              <a:spcPts val="0"/>
            </a:spcAft>
          </a:pPr>
          <a:r>
            <a:rPr lang="en-US" sz="900">
              <a:effectLst/>
              <a:latin typeface="Times New Roman" panose="02020603050405020304" pitchFamily="18"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F24D1-D386-4368-8F8A-7C20D563B0A1}">
  <dimension ref="B2:M17"/>
  <sheetViews>
    <sheetView topLeftCell="A4" workbookViewId="0">
      <selection activeCell="G17" sqref="G17"/>
    </sheetView>
  </sheetViews>
  <sheetFormatPr defaultRowHeight="15" x14ac:dyDescent="0.25"/>
  <cols>
    <col min="1" max="1" width="3.140625" customWidth="1"/>
    <col min="2" max="2" width="21.5703125" customWidth="1"/>
    <col min="3" max="3" width="16" customWidth="1"/>
    <col min="4" max="4" width="12.5703125" customWidth="1"/>
    <col min="5" max="5" width="9.5703125" customWidth="1"/>
    <col min="6" max="6" width="10.5703125" customWidth="1"/>
    <col min="7" max="7" width="14.5703125" customWidth="1"/>
    <col min="8" max="8" width="31.140625" customWidth="1"/>
    <col min="9" max="9" width="25.5703125" customWidth="1"/>
    <col min="10" max="10" width="9.85546875" customWidth="1"/>
    <col min="11" max="11" width="9.5703125" customWidth="1"/>
    <col min="12" max="12" width="11" customWidth="1"/>
    <col min="13" max="13" width="13.140625" customWidth="1"/>
  </cols>
  <sheetData>
    <row r="2" spans="2:13" x14ac:dyDescent="0.25">
      <c r="B2" s="1" t="s">
        <v>25</v>
      </c>
      <c r="C2" s="1"/>
      <c r="D2" s="1"/>
    </row>
    <row r="3" spans="2:13" x14ac:dyDescent="0.25">
      <c r="J3" s="375" t="s">
        <v>13</v>
      </c>
      <c r="K3" s="375"/>
      <c r="L3" s="360" t="s">
        <v>24</v>
      </c>
      <c r="M3" s="360"/>
    </row>
    <row r="4" spans="2:13" s="3" customFormat="1" ht="21.95" customHeight="1" x14ac:dyDescent="0.25">
      <c r="B4" s="2"/>
      <c r="C4" s="5" t="s">
        <v>0</v>
      </c>
      <c r="D4" s="5" t="s">
        <v>1</v>
      </c>
      <c r="E4" s="6" t="s">
        <v>11</v>
      </c>
      <c r="F4" s="14" t="s">
        <v>14</v>
      </c>
      <c r="G4" s="14" t="s">
        <v>20</v>
      </c>
      <c r="H4" s="14" t="s">
        <v>21</v>
      </c>
      <c r="I4" s="14" t="s">
        <v>2</v>
      </c>
      <c r="J4" s="15" t="s">
        <v>26</v>
      </c>
      <c r="K4" s="14" t="s">
        <v>12</v>
      </c>
      <c r="L4" s="4" t="s">
        <v>27</v>
      </c>
      <c r="M4" s="14" t="s">
        <v>15</v>
      </c>
    </row>
    <row r="5" spans="2:13" x14ac:dyDescent="0.25">
      <c r="B5" s="361" t="s">
        <v>16</v>
      </c>
      <c r="C5" s="7" t="s">
        <v>3</v>
      </c>
      <c r="D5" s="7" t="s">
        <v>4</v>
      </c>
      <c r="E5" s="8">
        <v>26000</v>
      </c>
      <c r="F5" s="16"/>
      <c r="G5" s="17">
        <v>4</v>
      </c>
      <c r="H5" s="17">
        <v>60</v>
      </c>
      <c r="I5" s="17">
        <v>433</v>
      </c>
      <c r="J5" s="18"/>
      <c r="K5" s="18"/>
      <c r="L5" s="18"/>
      <c r="M5" s="18"/>
    </row>
    <row r="6" spans="2:13" ht="30" x14ac:dyDescent="0.25">
      <c r="B6" s="361"/>
      <c r="C6" s="7" t="s">
        <v>5</v>
      </c>
      <c r="D6" s="7" t="s">
        <v>6</v>
      </c>
      <c r="E6" s="8">
        <v>29500</v>
      </c>
      <c r="F6" s="16"/>
      <c r="G6" s="17">
        <v>4</v>
      </c>
      <c r="H6" s="17">
        <v>70</v>
      </c>
      <c r="I6" s="17">
        <v>421</v>
      </c>
      <c r="J6" s="18"/>
      <c r="K6" s="18"/>
      <c r="L6" s="18"/>
      <c r="M6" s="18"/>
    </row>
    <row r="7" spans="2:13" ht="30" x14ac:dyDescent="0.25">
      <c r="B7" s="361"/>
      <c r="C7" s="7" t="s">
        <v>7</v>
      </c>
      <c r="D7" s="7" t="s">
        <v>8</v>
      </c>
      <c r="E7" s="8">
        <v>33000</v>
      </c>
      <c r="F7" s="16"/>
      <c r="G7" s="17">
        <v>4</v>
      </c>
      <c r="H7" s="17">
        <v>79</v>
      </c>
      <c r="I7" s="17">
        <v>417</v>
      </c>
      <c r="J7" s="18"/>
      <c r="K7" s="18"/>
      <c r="L7" s="18"/>
      <c r="M7" s="18"/>
    </row>
    <row r="8" spans="2:13" ht="27" customHeight="1" x14ac:dyDescent="0.25">
      <c r="B8" s="361"/>
      <c r="C8" s="7" t="s">
        <v>9</v>
      </c>
      <c r="D8" s="7" t="s">
        <v>10</v>
      </c>
      <c r="E8" s="8">
        <v>41000</v>
      </c>
      <c r="F8" s="16"/>
      <c r="G8" s="17">
        <v>5</v>
      </c>
      <c r="H8" s="17">
        <v>96</v>
      </c>
      <c r="I8" s="17">
        <v>427</v>
      </c>
      <c r="J8" s="18"/>
      <c r="K8" s="18"/>
      <c r="L8" s="18"/>
      <c r="M8" s="18"/>
    </row>
    <row r="9" spans="2:13" ht="16.5" customHeight="1" x14ac:dyDescent="0.25">
      <c r="B9" s="362" t="s">
        <v>23</v>
      </c>
      <c r="C9" s="12" t="s">
        <v>19</v>
      </c>
      <c r="D9" s="12" t="s">
        <v>17</v>
      </c>
      <c r="E9" s="13">
        <v>94508</v>
      </c>
      <c r="F9" s="19"/>
      <c r="G9" s="20"/>
      <c r="H9" s="20"/>
      <c r="I9" s="20"/>
      <c r="J9" s="21"/>
      <c r="K9" s="21"/>
      <c r="L9" s="21"/>
      <c r="M9" s="21"/>
    </row>
    <row r="10" spans="2:13" ht="20.45" customHeight="1" x14ac:dyDescent="0.25">
      <c r="B10" s="362"/>
      <c r="C10" s="12" t="s">
        <v>19</v>
      </c>
      <c r="D10" s="12" t="s">
        <v>18</v>
      </c>
      <c r="E10" s="13">
        <v>88519</v>
      </c>
      <c r="F10" s="19"/>
      <c r="G10" s="20"/>
      <c r="H10" s="20"/>
      <c r="I10" s="20"/>
      <c r="J10" s="21"/>
      <c r="K10" s="21"/>
      <c r="L10" s="21"/>
      <c r="M10" s="21"/>
    </row>
    <row r="11" spans="2:13" x14ac:dyDescent="0.25">
      <c r="B11" s="363" t="s">
        <v>22</v>
      </c>
      <c r="C11" s="363"/>
      <c r="D11" s="363"/>
      <c r="E11" s="9">
        <f>SUM(E5:E10)</f>
        <v>312527</v>
      </c>
      <c r="F11" s="22"/>
      <c r="G11" s="23">
        <v>17</v>
      </c>
      <c r="H11" s="23">
        <v>305</v>
      </c>
      <c r="I11" s="23">
        <v>424</v>
      </c>
      <c r="J11" s="24"/>
      <c r="K11" s="24"/>
      <c r="L11" s="24"/>
      <c r="M11" s="24"/>
    </row>
    <row r="12" spans="2:13" x14ac:dyDescent="0.25">
      <c r="B12" s="374" t="s">
        <v>29</v>
      </c>
      <c r="C12" s="374"/>
      <c r="D12" s="374"/>
      <c r="E12" s="10">
        <v>2600000</v>
      </c>
      <c r="F12" s="18"/>
      <c r="G12" s="18"/>
      <c r="H12" s="18"/>
      <c r="I12" s="18"/>
      <c r="J12" s="18"/>
      <c r="K12" s="18"/>
      <c r="L12" s="18"/>
      <c r="M12" s="18"/>
    </row>
    <row r="13" spans="2:13" x14ac:dyDescent="0.25">
      <c r="B13" s="365" t="s">
        <v>30</v>
      </c>
      <c r="C13" s="366"/>
      <c r="D13" s="367"/>
      <c r="E13" s="10">
        <v>845000</v>
      </c>
      <c r="F13" s="18"/>
      <c r="G13" s="18"/>
      <c r="H13" s="18"/>
      <c r="I13" s="18"/>
      <c r="J13" s="18"/>
      <c r="K13" s="18"/>
      <c r="L13" s="18"/>
      <c r="M13" s="18"/>
    </row>
    <row r="14" spans="2:13" x14ac:dyDescent="0.25">
      <c r="B14" s="368" t="s">
        <v>31</v>
      </c>
      <c r="C14" s="369"/>
      <c r="D14" s="370"/>
      <c r="E14" s="11">
        <f>E11/E12</f>
        <v>0.1202026923076923</v>
      </c>
      <c r="F14" s="18"/>
      <c r="G14" s="18"/>
      <c r="H14" s="18"/>
      <c r="I14" s="18"/>
      <c r="J14" s="18"/>
      <c r="K14" s="18"/>
      <c r="L14" s="18"/>
      <c r="M14" s="18"/>
    </row>
    <row r="15" spans="2:13" x14ac:dyDescent="0.25">
      <c r="B15" s="371" t="s">
        <v>32</v>
      </c>
      <c r="C15" s="372"/>
      <c r="D15" s="373"/>
      <c r="E15" s="26">
        <f>E11/E13</f>
        <v>0.36985443786982247</v>
      </c>
    </row>
    <row r="16" spans="2:13" x14ac:dyDescent="0.25">
      <c r="B16" s="364" t="s">
        <v>33</v>
      </c>
      <c r="C16" s="364"/>
      <c r="D16" s="364"/>
      <c r="E16" s="27">
        <v>35385</v>
      </c>
    </row>
    <row r="17" spans="7:7" x14ac:dyDescent="0.25">
      <c r="G17" s="27"/>
    </row>
  </sheetData>
  <mergeCells count="10">
    <mergeCell ref="L3:M3"/>
    <mergeCell ref="B5:B8"/>
    <mergeCell ref="B9:B10"/>
    <mergeCell ref="B11:D11"/>
    <mergeCell ref="B16:D16"/>
    <mergeCell ref="B13:D13"/>
    <mergeCell ref="B14:D14"/>
    <mergeCell ref="B15:D15"/>
    <mergeCell ref="B12:D12"/>
    <mergeCell ref="J3: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CF1A2-C58D-4558-8449-7E25F4E28102}">
  <sheetPr>
    <pageSetUpPr fitToPage="1"/>
  </sheetPr>
  <dimension ref="A1:AY109"/>
  <sheetViews>
    <sheetView tabSelected="1" topLeftCell="A70" zoomScale="90" zoomScaleNormal="90" workbookViewId="0">
      <selection activeCell="F10" sqref="F10"/>
    </sheetView>
  </sheetViews>
  <sheetFormatPr defaultRowHeight="15" x14ac:dyDescent="0.25"/>
  <cols>
    <col min="1" max="1" width="3.42578125" customWidth="1"/>
    <col min="2" max="2" width="43" style="3" customWidth="1"/>
    <col min="3" max="3" width="11.5703125" style="3" customWidth="1"/>
    <col min="4" max="13" width="8.28515625" style="66" customWidth="1"/>
    <col min="14" max="15" width="8.28515625" style="67" customWidth="1"/>
    <col min="16" max="18" width="10.85546875" customWidth="1"/>
    <col min="19" max="19" width="36.5703125" customWidth="1"/>
    <col min="20" max="20" width="6.42578125" style="28" customWidth="1"/>
    <col min="21" max="51" width="9.140625" style="28"/>
  </cols>
  <sheetData>
    <row r="1" spans="1:51" x14ac:dyDescent="0.25">
      <c r="A1" s="31"/>
      <c r="B1" s="28"/>
      <c r="C1" s="28"/>
      <c r="D1" s="56"/>
      <c r="E1" s="56"/>
      <c r="F1" s="56"/>
      <c r="G1" s="56"/>
      <c r="H1" s="56"/>
      <c r="I1" s="56"/>
      <c r="J1" s="56"/>
      <c r="K1" s="56"/>
      <c r="L1" s="56"/>
      <c r="M1" s="56"/>
      <c r="N1" s="56"/>
      <c r="O1" s="56"/>
      <c r="P1" s="28"/>
      <c r="Q1" s="28"/>
      <c r="R1" s="28"/>
      <c r="S1" s="28"/>
    </row>
    <row r="2" spans="1:51" x14ac:dyDescent="0.25">
      <c r="A2" s="31"/>
      <c r="B2" s="332" t="s">
        <v>56</v>
      </c>
      <c r="C2" s="330">
        <v>2021</v>
      </c>
      <c r="D2" s="331"/>
      <c r="E2" s="331"/>
      <c r="F2" s="331"/>
      <c r="G2" s="331"/>
      <c r="H2" s="331"/>
      <c r="I2" s="83"/>
      <c r="J2" s="56"/>
      <c r="K2" s="56"/>
      <c r="L2" s="56"/>
      <c r="M2" s="56"/>
      <c r="N2" s="56"/>
      <c r="O2" s="56"/>
      <c r="P2" s="28"/>
      <c r="Q2" s="28"/>
      <c r="R2" s="28"/>
      <c r="S2" s="28"/>
    </row>
    <row r="3" spans="1:51" x14ac:dyDescent="0.25">
      <c r="A3" s="31"/>
      <c r="B3" s="333" t="s">
        <v>59</v>
      </c>
      <c r="C3" s="334" t="s">
        <v>86</v>
      </c>
      <c r="D3" s="335"/>
      <c r="E3" s="335"/>
      <c r="F3" s="335"/>
      <c r="G3" s="335"/>
      <c r="H3" s="335"/>
      <c r="I3" s="336"/>
      <c r="J3" s="56"/>
      <c r="K3" s="56"/>
      <c r="L3" s="56"/>
      <c r="M3" s="56"/>
      <c r="N3" s="56"/>
      <c r="O3" s="56"/>
      <c r="P3" s="28"/>
      <c r="Q3" s="28"/>
      <c r="R3" s="28"/>
      <c r="S3" s="28"/>
    </row>
    <row r="4" spans="1:51" s="3" customFormat="1" x14ac:dyDescent="0.25">
      <c r="A4" s="31"/>
      <c r="B4" s="333" t="s">
        <v>57</v>
      </c>
      <c r="C4" s="334" t="s">
        <v>87</v>
      </c>
      <c r="D4" s="337"/>
      <c r="E4" s="337"/>
      <c r="F4" s="337"/>
      <c r="G4" s="337"/>
      <c r="H4" s="337"/>
      <c r="I4" s="338"/>
      <c r="J4" s="57"/>
      <c r="K4" s="57"/>
      <c r="L4" s="57"/>
      <c r="M4" s="57"/>
      <c r="N4" s="56"/>
      <c r="O4" s="56"/>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row>
    <row r="5" spans="1:51" s="3" customFormat="1" x14ac:dyDescent="0.25">
      <c r="A5" s="31"/>
      <c r="B5" s="339" t="s">
        <v>58</v>
      </c>
      <c r="C5" s="380"/>
      <c r="D5" s="380"/>
      <c r="E5" s="380"/>
      <c r="F5" s="380"/>
      <c r="G5" s="380"/>
      <c r="H5" s="380"/>
      <c r="I5" s="381"/>
      <c r="J5" s="57"/>
      <c r="K5" s="57"/>
      <c r="L5" s="57"/>
      <c r="M5" s="57"/>
      <c r="N5" s="56"/>
      <c r="O5" s="56"/>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row>
    <row r="6" spans="1:51" s="3" customFormat="1" ht="17.25" customHeight="1" x14ac:dyDescent="0.25">
      <c r="A6" s="31"/>
      <c r="B6" s="340" t="s">
        <v>52</v>
      </c>
      <c r="C6" s="341">
        <v>6</v>
      </c>
      <c r="D6" s="382" t="s">
        <v>88</v>
      </c>
      <c r="E6" s="382"/>
      <c r="F6" s="382"/>
      <c r="G6" s="382"/>
      <c r="H6" s="382"/>
      <c r="I6" s="338"/>
      <c r="J6" s="57"/>
      <c r="K6" s="57"/>
      <c r="L6" s="57"/>
      <c r="M6" s="57"/>
      <c r="N6" s="56"/>
      <c r="O6" s="56"/>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row>
    <row r="7" spans="1:51" s="3" customFormat="1" ht="15.75" customHeight="1" x14ac:dyDescent="0.25">
      <c r="A7" s="31"/>
      <c r="B7" s="344" t="s">
        <v>185</v>
      </c>
      <c r="C7" s="346" t="s">
        <v>193</v>
      </c>
      <c r="D7" s="387" t="s">
        <v>65</v>
      </c>
      <c r="E7" s="387"/>
      <c r="F7" s="387"/>
      <c r="G7" s="387"/>
      <c r="H7" s="387"/>
      <c r="I7" s="388"/>
      <c r="J7" s="58"/>
      <c r="K7" s="389" t="s">
        <v>186</v>
      </c>
      <c r="L7" s="389"/>
      <c r="M7" s="389"/>
      <c r="N7" s="58"/>
      <c r="O7" s="58"/>
      <c r="P7" s="30"/>
      <c r="Q7" s="30"/>
      <c r="R7" s="30"/>
      <c r="S7" s="30"/>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row>
    <row r="8" spans="1:51" s="3" customFormat="1" ht="30" x14ac:dyDescent="0.25">
      <c r="A8" s="31"/>
      <c r="B8" s="342" t="s">
        <v>180</v>
      </c>
      <c r="C8" s="343" t="s">
        <v>62</v>
      </c>
      <c r="D8" s="383" t="s">
        <v>54</v>
      </c>
      <c r="E8" s="384"/>
      <c r="F8" s="384"/>
      <c r="G8" s="384"/>
      <c r="H8" s="384"/>
      <c r="I8" s="384"/>
      <c r="J8" s="385"/>
      <c r="K8" s="385"/>
      <c r="L8" s="385"/>
      <c r="M8" s="385"/>
      <c r="N8" s="385"/>
      <c r="O8" s="386"/>
      <c r="P8" s="41" t="s">
        <v>67</v>
      </c>
      <c r="Q8" s="41" t="s">
        <v>66</v>
      </c>
      <c r="R8" s="51" t="s">
        <v>68</v>
      </c>
      <c r="S8" s="41" t="s">
        <v>43</v>
      </c>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row>
    <row r="9" spans="1:51" x14ac:dyDescent="0.25">
      <c r="A9" s="31"/>
      <c r="B9" s="155" t="s">
        <v>61</v>
      </c>
      <c r="C9" s="326" t="str">
        <f>VLOOKUP(C6,months,2)</f>
        <v>Jun</v>
      </c>
      <c r="D9" s="47" t="str">
        <f>VLOOKUP($C$6+1,months,2)</f>
        <v>Jul</v>
      </c>
      <c r="E9" s="48" t="str">
        <f>VLOOKUP($C$6+2,months,2)</f>
        <v>Aug</v>
      </c>
      <c r="F9" s="48" t="str">
        <f>VLOOKUP($C$6+3,months,2)</f>
        <v>Sept</v>
      </c>
      <c r="G9" s="48" t="str">
        <f>VLOOKUP($C$6+4,months,2)</f>
        <v>Oct</v>
      </c>
      <c r="H9" s="48" t="str">
        <f>VLOOKUP($C$6+5,months,2)</f>
        <v>Nov</v>
      </c>
      <c r="I9" s="48" t="str">
        <f>VLOOKUP($C$6+6,months,2)</f>
        <v>Dec</v>
      </c>
      <c r="J9" s="48" t="str">
        <f>VLOOKUP($C$6+7,months,2)</f>
        <v>Jan</v>
      </c>
      <c r="K9" s="48" t="str">
        <f>VLOOKUP($C$6+8,months,2)</f>
        <v>Feb</v>
      </c>
      <c r="L9" s="48" t="str">
        <f>VLOOKUP($C$6+9,months,2)</f>
        <v>Mar</v>
      </c>
      <c r="M9" s="48" t="str">
        <f>VLOOKUP($C$6+10,months,2)</f>
        <v>Apr</v>
      </c>
      <c r="N9" s="48" t="str">
        <f>VLOOKUP($C$6+11,months,2)</f>
        <v>May</v>
      </c>
      <c r="O9" s="49" t="str">
        <f>VLOOKUP($C$6+12,months,2)</f>
        <v>Jun</v>
      </c>
      <c r="P9" s="42" t="s">
        <v>60</v>
      </c>
      <c r="Q9" s="42" t="s">
        <v>60</v>
      </c>
      <c r="R9" s="49" t="s">
        <v>60</v>
      </c>
      <c r="S9" s="40"/>
    </row>
    <row r="10" spans="1:51" s="3" customFormat="1" x14ac:dyDescent="0.25">
      <c r="A10" s="31"/>
      <c r="B10" s="75" t="s">
        <v>50</v>
      </c>
      <c r="C10" s="45"/>
      <c r="D10" s="59"/>
      <c r="E10" s="59"/>
      <c r="F10" s="59"/>
      <c r="G10" s="59"/>
      <c r="H10" s="59"/>
      <c r="I10" s="59"/>
      <c r="J10" s="59"/>
      <c r="K10" s="59"/>
      <c r="L10" s="59"/>
      <c r="M10" s="59"/>
      <c r="N10" s="59"/>
      <c r="O10" s="59"/>
      <c r="P10" s="52"/>
      <c r="Q10" s="35"/>
      <c r="R10" s="70"/>
      <c r="S10" s="191"/>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row>
    <row r="11" spans="1:51" x14ac:dyDescent="0.25">
      <c r="A11" s="31"/>
      <c r="B11" s="76" t="s">
        <v>167</v>
      </c>
      <c r="C11" s="185">
        <v>2</v>
      </c>
      <c r="D11" s="119">
        <f>'Revenue and Cost Build-Up'!B44</f>
        <v>1.276767</v>
      </c>
      <c r="E11" s="119">
        <f>'Revenue and Cost Build-Up'!C44</f>
        <v>1.108017</v>
      </c>
      <c r="F11" s="119">
        <f>'Revenue and Cost Build-Up'!D44</f>
        <v>1.189764</v>
      </c>
      <c r="G11" s="119">
        <f>'Revenue and Cost Build-Up'!E44</f>
        <v>1.200564</v>
      </c>
      <c r="H11" s="119">
        <f>'Revenue and Cost Build-Up'!F44</f>
        <v>1.208664</v>
      </c>
      <c r="I11" s="119">
        <f>'Revenue and Cost Build-Up'!G44</f>
        <v>1.216764</v>
      </c>
      <c r="J11" s="119">
        <f>'Revenue and Cost Build-Up'!H44</f>
        <v>1.2159314999999999</v>
      </c>
      <c r="K11" s="119">
        <f>'Revenue and Cost Build-Up'!I44</f>
        <v>1.2063014999999999</v>
      </c>
      <c r="L11" s="119">
        <f>'Revenue and Cost Build-Up'!J44</f>
        <v>1.8172844999999997</v>
      </c>
      <c r="M11" s="119">
        <f>'Revenue and Cost Build-Up'!K44</f>
        <v>1.8172844999999997</v>
      </c>
      <c r="N11" s="119">
        <f>'Revenue and Cost Build-Up'!L44</f>
        <v>1.8172844999999997</v>
      </c>
      <c r="O11" s="119">
        <f>'Revenue and Cost Build-Up'!M44</f>
        <v>1.8172844999999997</v>
      </c>
      <c r="P11" s="120">
        <f>+C11*12</f>
        <v>24</v>
      </c>
      <c r="Q11" s="120">
        <f>SUM(D11:O11)</f>
        <v>16.891911</v>
      </c>
      <c r="R11" s="120">
        <f>Q11-P11</f>
        <v>-7.1080889999999997</v>
      </c>
      <c r="S11" s="192"/>
    </row>
    <row r="12" spans="1:51" x14ac:dyDescent="0.25">
      <c r="A12" s="31"/>
      <c r="B12" s="76" t="s">
        <v>192</v>
      </c>
      <c r="C12" s="185">
        <v>0.73</v>
      </c>
      <c r="D12" s="119">
        <f>'Revenue and Cost Build-Up'!B58</f>
        <v>1.2053370977461737</v>
      </c>
      <c r="E12" s="119">
        <f>'Revenue and Cost Build-Up'!C58</f>
        <v>1.0218438228847</v>
      </c>
      <c r="F12" s="119">
        <f>'Revenue and Cost Build-Up'!D58</f>
        <v>1.088242722860187</v>
      </c>
      <c r="G12" s="119">
        <f>'Revenue and Cost Build-Up'!E58</f>
        <v>1.0962448831290867</v>
      </c>
      <c r="H12" s="119">
        <f>'Revenue and Cost Build-Up'!F58</f>
        <v>1.0966881226888794</v>
      </c>
      <c r="I12" s="119">
        <f>'Revenue and Cost Build-Up'!G58</f>
        <v>1.0971262164776905</v>
      </c>
      <c r="J12" s="119">
        <f>'Revenue and Cost Build-Up'!H58</f>
        <v>1.0975592535877805</v>
      </c>
      <c r="K12" s="119">
        <f>'Revenue and Cost Build-Up'!I58</f>
        <v>1.1116730484155608</v>
      </c>
      <c r="L12" s="119">
        <f>'Revenue and Cost Build-Up'!J58</f>
        <v>1.7811479198956499</v>
      </c>
      <c r="M12" s="119">
        <f>'Revenue and Cost Build-Up'!K58</f>
        <v>1.7811479198956499</v>
      </c>
      <c r="N12" s="119">
        <f>'Revenue and Cost Build-Up'!L58</f>
        <v>1.7811479198956499</v>
      </c>
      <c r="O12" s="119">
        <f>'Revenue and Cost Build-Up'!M58</f>
        <v>1.7811479198956499</v>
      </c>
      <c r="P12" s="120">
        <f>+C12*12</f>
        <v>8.76</v>
      </c>
      <c r="Q12" s="120">
        <f>SUM(D12:O12)</f>
        <v>15.939306847372659</v>
      </c>
      <c r="R12" s="120">
        <f>Q12-P12</f>
        <v>7.1793068473726596</v>
      </c>
      <c r="S12" s="192"/>
    </row>
    <row r="13" spans="1:51" x14ac:dyDescent="0.25">
      <c r="A13" s="31"/>
      <c r="B13" s="76" t="s">
        <v>41</v>
      </c>
      <c r="C13" s="187">
        <v>0.9</v>
      </c>
      <c r="D13" s="188">
        <v>0.4</v>
      </c>
      <c r="E13" s="188">
        <v>0.35</v>
      </c>
      <c r="F13" s="188">
        <v>0.3</v>
      </c>
      <c r="G13" s="188">
        <v>0.3</v>
      </c>
      <c r="H13" s="188">
        <v>0.3</v>
      </c>
      <c r="I13" s="188">
        <v>0.3</v>
      </c>
      <c r="J13" s="188">
        <v>0.5</v>
      </c>
      <c r="K13" s="188">
        <v>0.5</v>
      </c>
      <c r="L13" s="188">
        <v>0.5</v>
      </c>
      <c r="M13" s="188">
        <v>0.5</v>
      </c>
      <c r="N13" s="188">
        <v>0.5</v>
      </c>
      <c r="O13" s="188">
        <v>0.5</v>
      </c>
      <c r="P13" s="121"/>
      <c r="Q13" s="121"/>
      <c r="R13" s="120"/>
      <c r="S13" s="192"/>
    </row>
    <row r="14" spans="1:51" x14ac:dyDescent="0.25">
      <c r="A14" s="31"/>
      <c r="B14" s="76" t="s">
        <v>53</v>
      </c>
      <c r="C14" s="185">
        <v>2.5</v>
      </c>
      <c r="D14" s="122">
        <f>(D11+D12)*D13</f>
        <v>0.99284163909846945</v>
      </c>
      <c r="E14" s="122">
        <f t="shared" ref="E14:O14" si="0">(E11+E12)*E13</f>
        <v>0.74545128800964489</v>
      </c>
      <c r="F14" s="122">
        <f t="shared" si="0"/>
        <v>0.68340201685805613</v>
      </c>
      <c r="G14" s="122">
        <f t="shared" si="0"/>
        <v>0.68904266493872601</v>
      </c>
      <c r="H14" s="122">
        <f t="shared" si="0"/>
        <v>0.69160563680666387</v>
      </c>
      <c r="I14" s="122">
        <f t="shared" si="0"/>
        <v>0.69416706494330715</v>
      </c>
      <c r="J14" s="122">
        <f t="shared" si="0"/>
        <v>1.1567453767938902</v>
      </c>
      <c r="K14" s="122">
        <f t="shared" si="0"/>
        <v>1.1589872742077802</v>
      </c>
      <c r="L14" s="122">
        <f t="shared" si="0"/>
        <v>1.7992162099478248</v>
      </c>
      <c r="M14" s="122">
        <f t="shared" si="0"/>
        <v>1.7992162099478248</v>
      </c>
      <c r="N14" s="122">
        <f t="shared" si="0"/>
        <v>1.7992162099478248</v>
      </c>
      <c r="O14" s="122">
        <f t="shared" si="0"/>
        <v>1.7992162099478248</v>
      </c>
      <c r="P14" s="120">
        <f t="shared" ref="P14:P19" si="1">+C14*12</f>
        <v>30</v>
      </c>
      <c r="Q14" s="120">
        <f>SUM(D14:O14)</f>
        <v>14.00910780144784</v>
      </c>
      <c r="R14" s="120">
        <f t="shared" ref="R14:R19" si="2">Q14-P14</f>
        <v>-15.99089219855216</v>
      </c>
      <c r="S14" s="192"/>
    </row>
    <row r="15" spans="1:51" x14ac:dyDescent="0.25">
      <c r="A15" s="31"/>
      <c r="B15" s="76" t="s">
        <v>168</v>
      </c>
      <c r="C15" s="185"/>
      <c r="D15" s="122">
        <f>'Revenue and Cost Build-Up'!B43+'Revenue and Cost Build-Up'!B59</f>
        <v>0.06</v>
      </c>
      <c r="E15" s="122">
        <f>'Revenue and Cost Build-Up'!C43+'Revenue and Cost Build-Up'!C59</f>
        <v>8.3999999999999991E-2</v>
      </c>
      <c r="F15" s="122">
        <f>'Revenue and Cost Build-Up'!D43+'Revenue and Cost Build-Up'!D59</f>
        <v>8.3999999999999991E-2</v>
      </c>
      <c r="G15" s="122">
        <f>'Revenue and Cost Build-Up'!E43+'Revenue and Cost Build-Up'!E59</f>
        <v>3.5999999999999997E-2</v>
      </c>
      <c r="H15" s="122">
        <f>'Revenue and Cost Build-Up'!F43+'Revenue and Cost Build-Up'!F59</f>
        <v>3.5999999999999997E-2</v>
      </c>
      <c r="I15" s="122">
        <f>'Revenue and Cost Build-Up'!G43+'Revenue and Cost Build-Up'!G59</f>
        <v>3.5999999999999997E-2</v>
      </c>
      <c r="J15" s="122">
        <f>'Revenue and Cost Build-Up'!H43+'Revenue and Cost Build-Up'!H59</f>
        <v>3.5999999999999997E-2</v>
      </c>
      <c r="K15" s="122">
        <f>'Revenue and Cost Build-Up'!I43+'Revenue and Cost Build-Up'!I59</f>
        <v>0</v>
      </c>
      <c r="L15" s="122">
        <f>'Revenue and Cost Build-Up'!J43+'Revenue and Cost Build-Up'!J59</f>
        <v>0</v>
      </c>
      <c r="M15" s="122">
        <f>'Revenue and Cost Build-Up'!K43+'Revenue and Cost Build-Up'!K59</f>
        <v>0</v>
      </c>
      <c r="N15" s="122">
        <f>'Revenue and Cost Build-Up'!L43+'Revenue and Cost Build-Up'!L59</f>
        <v>0</v>
      </c>
      <c r="O15" s="122">
        <f>'Revenue and Cost Build-Up'!M43+'Revenue and Cost Build-Up'!M59</f>
        <v>0</v>
      </c>
      <c r="P15" s="120">
        <f t="shared" si="1"/>
        <v>0</v>
      </c>
      <c r="Q15" s="120">
        <f>SUM(D15:O15)</f>
        <v>0.37199999999999989</v>
      </c>
      <c r="R15" s="120">
        <f t="shared" si="2"/>
        <v>0.37199999999999989</v>
      </c>
      <c r="S15" s="192"/>
    </row>
    <row r="16" spans="1:51" x14ac:dyDescent="0.25">
      <c r="A16" s="31"/>
      <c r="B16" s="96" t="s">
        <v>44</v>
      </c>
      <c r="C16" s="186">
        <v>0.2</v>
      </c>
      <c r="D16" s="123">
        <f>'Revenue and Cost Build-Up'!B60</f>
        <v>0.13900000000000001</v>
      </c>
      <c r="E16" s="123">
        <f>'Revenue and Cost Build-Up'!C60</f>
        <v>0.13900000000000001</v>
      </c>
      <c r="F16" s="123">
        <f>'Revenue and Cost Build-Up'!D60</f>
        <v>0.13900000000000001</v>
      </c>
      <c r="G16" s="123">
        <f>'Revenue and Cost Build-Up'!E60</f>
        <v>0.13900000000000001</v>
      </c>
      <c r="H16" s="123">
        <f>'Revenue and Cost Build-Up'!F60</f>
        <v>0.13900000000000001</v>
      </c>
      <c r="I16" s="123">
        <f>'Revenue and Cost Build-Up'!G60</f>
        <v>0.13900000000000001</v>
      </c>
      <c r="J16" s="123">
        <f>'Revenue and Cost Build-Up'!H60</f>
        <v>0.13900000000000001</v>
      </c>
      <c r="K16" s="123">
        <f>'Revenue and Cost Build-Up'!I60</f>
        <v>0.13900000000000001</v>
      </c>
      <c r="L16" s="123">
        <f>'Revenue and Cost Build-Up'!J60</f>
        <v>0.13900000000000001</v>
      </c>
      <c r="M16" s="123">
        <f>'Revenue and Cost Build-Up'!K60</f>
        <v>0.13900000000000001</v>
      </c>
      <c r="N16" s="123">
        <f>'Revenue and Cost Build-Up'!L60</f>
        <v>0.13900000000000001</v>
      </c>
      <c r="O16" s="123">
        <f>'Revenue and Cost Build-Up'!M60</f>
        <v>0.13900000000000001</v>
      </c>
      <c r="P16" s="124">
        <f t="shared" si="1"/>
        <v>2.4000000000000004</v>
      </c>
      <c r="Q16" s="124">
        <f>SUM(D16:O16)</f>
        <v>1.6680000000000001</v>
      </c>
      <c r="R16" s="124">
        <f t="shared" si="2"/>
        <v>-0.73200000000000021</v>
      </c>
      <c r="S16" s="192"/>
    </row>
    <row r="17" spans="1:19" x14ac:dyDescent="0.25">
      <c r="A17" s="31"/>
      <c r="B17" s="78" t="s">
        <v>40</v>
      </c>
      <c r="C17" s="125">
        <f>SUM(C14:C16)</f>
        <v>2.7</v>
      </c>
      <c r="D17" s="126">
        <f>+D14+D15+D16</f>
        <v>1.1918416390984694</v>
      </c>
      <c r="E17" s="126">
        <f>+E14+E15+E16</f>
        <v>0.96845128800964486</v>
      </c>
      <c r="F17" s="126">
        <f t="shared" ref="F17:O17" si="3">+F14+F15+F16</f>
        <v>0.9064020168580561</v>
      </c>
      <c r="G17" s="126">
        <f t="shared" si="3"/>
        <v>0.86404266493872606</v>
      </c>
      <c r="H17" s="126">
        <f t="shared" si="3"/>
        <v>0.86660563680666391</v>
      </c>
      <c r="I17" s="126">
        <f t="shared" si="3"/>
        <v>0.8691670649433072</v>
      </c>
      <c r="J17" s="126">
        <f t="shared" si="3"/>
        <v>1.3317453767938903</v>
      </c>
      <c r="K17" s="126">
        <f t="shared" si="3"/>
        <v>1.2979872742077803</v>
      </c>
      <c r="L17" s="126">
        <f t="shared" si="3"/>
        <v>1.9382162099478248</v>
      </c>
      <c r="M17" s="126">
        <f t="shared" si="3"/>
        <v>1.9382162099478248</v>
      </c>
      <c r="N17" s="126">
        <f t="shared" si="3"/>
        <v>1.9382162099478248</v>
      </c>
      <c r="O17" s="126">
        <f t="shared" si="3"/>
        <v>1.9382162099478248</v>
      </c>
      <c r="P17" s="120">
        <f t="shared" si="1"/>
        <v>32.400000000000006</v>
      </c>
      <c r="Q17" s="120">
        <f>SUM(D17:O17)</f>
        <v>16.049107801447839</v>
      </c>
      <c r="R17" s="120">
        <f t="shared" si="2"/>
        <v>-16.350892198552167</v>
      </c>
      <c r="S17" s="192"/>
    </row>
    <row r="18" spans="1:19" x14ac:dyDescent="0.25">
      <c r="A18" s="31"/>
      <c r="B18" s="77" t="s">
        <v>55</v>
      </c>
      <c r="C18" s="189">
        <v>0.2</v>
      </c>
      <c r="D18" s="190">
        <v>-0.2</v>
      </c>
      <c r="E18" s="190">
        <v>0.2</v>
      </c>
      <c r="F18" s="190">
        <v>0.2</v>
      </c>
      <c r="G18" s="190">
        <v>0.5</v>
      </c>
      <c r="H18" s="190">
        <v>0.5</v>
      </c>
      <c r="I18" s="190">
        <v>0.2</v>
      </c>
      <c r="J18" s="190">
        <v>0.2</v>
      </c>
      <c r="K18" s="190">
        <v>0.2</v>
      </c>
      <c r="L18" s="190">
        <v>0.2</v>
      </c>
      <c r="M18" s="190">
        <v>0.2</v>
      </c>
      <c r="N18" s="190">
        <v>0.2</v>
      </c>
      <c r="O18" s="190">
        <v>0.2</v>
      </c>
      <c r="P18" s="120">
        <f t="shared" si="1"/>
        <v>2.4000000000000004</v>
      </c>
      <c r="Q18" s="124">
        <f>SUM(D18:O18)</f>
        <v>2.6</v>
      </c>
      <c r="R18" s="127">
        <f t="shared" si="2"/>
        <v>0.19999999999999973</v>
      </c>
      <c r="S18" s="192"/>
    </row>
    <row r="19" spans="1:19" x14ac:dyDescent="0.25">
      <c r="A19" s="31"/>
      <c r="B19" s="39" t="s">
        <v>63</v>
      </c>
      <c r="C19" s="128">
        <f>+C17+C18</f>
        <v>2.9000000000000004</v>
      </c>
      <c r="D19" s="129">
        <f>+D17+D18</f>
        <v>0.99184163909846945</v>
      </c>
      <c r="E19" s="129">
        <f t="shared" ref="E19:O19" si="4">+E17+E18</f>
        <v>1.1684512880096449</v>
      </c>
      <c r="F19" s="129">
        <f t="shared" si="4"/>
        <v>1.1064020168580562</v>
      </c>
      <c r="G19" s="129">
        <f t="shared" si="4"/>
        <v>1.3640426649387261</v>
      </c>
      <c r="H19" s="129">
        <f t="shared" si="4"/>
        <v>1.3666056368066639</v>
      </c>
      <c r="I19" s="129">
        <f t="shared" si="4"/>
        <v>1.0691670649433072</v>
      </c>
      <c r="J19" s="129">
        <f t="shared" si="4"/>
        <v>1.5317453767938902</v>
      </c>
      <c r="K19" s="129">
        <f t="shared" si="4"/>
        <v>1.4979872742077802</v>
      </c>
      <c r="L19" s="129">
        <f t="shared" si="4"/>
        <v>2.1382162099478248</v>
      </c>
      <c r="M19" s="129">
        <f t="shared" si="4"/>
        <v>2.1382162099478248</v>
      </c>
      <c r="N19" s="130">
        <f t="shared" si="4"/>
        <v>2.1382162099478248</v>
      </c>
      <c r="O19" s="130">
        <f t="shared" si="4"/>
        <v>2.1382162099478248</v>
      </c>
      <c r="P19" s="131">
        <f t="shared" si="1"/>
        <v>34.800000000000004</v>
      </c>
      <c r="Q19" s="132">
        <f>+Q17+Q18</f>
        <v>18.64910780144784</v>
      </c>
      <c r="R19" s="131">
        <f t="shared" si="2"/>
        <v>-16.150892198552164</v>
      </c>
      <c r="S19" s="193"/>
    </row>
    <row r="20" spans="1:19" x14ac:dyDescent="0.25">
      <c r="A20" s="31"/>
      <c r="B20" s="33"/>
      <c r="C20" s="53"/>
      <c r="D20" s="60"/>
      <c r="E20" s="60"/>
      <c r="F20" s="60"/>
      <c r="G20" s="60"/>
      <c r="H20" s="60"/>
      <c r="I20" s="60"/>
      <c r="J20" s="60"/>
      <c r="K20" s="60"/>
      <c r="L20" s="60"/>
      <c r="M20" s="60"/>
      <c r="N20" s="61"/>
      <c r="O20" s="61"/>
      <c r="P20" s="46"/>
      <c r="Q20" s="50"/>
      <c r="R20" s="50"/>
      <c r="S20" s="31"/>
    </row>
    <row r="21" spans="1:19" ht="24.75" x14ac:dyDescent="0.25">
      <c r="A21" s="31"/>
      <c r="B21" s="154" t="s">
        <v>180</v>
      </c>
      <c r="C21" s="62"/>
      <c r="D21" s="62"/>
      <c r="E21" s="62"/>
      <c r="F21" s="62"/>
      <c r="G21" s="62"/>
      <c r="H21" s="62"/>
      <c r="I21" s="62"/>
      <c r="J21" s="62"/>
      <c r="K21" s="62"/>
      <c r="L21" s="62"/>
      <c r="M21" s="62"/>
      <c r="N21" s="62"/>
      <c r="O21" s="83"/>
      <c r="P21" s="71" t="s">
        <v>67</v>
      </c>
      <c r="Q21" s="68" t="s">
        <v>66</v>
      </c>
      <c r="R21" s="72" t="s">
        <v>68</v>
      </c>
      <c r="S21" s="41" t="s">
        <v>43</v>
      </c>
    </row>
    <row r="22" spans="1:19" x14ac:dyDescent="0.25">
      <c r="A22" s="31"/>
      <c r="B22" s="32" t="s">
        <v>64</v>
      </c>
      <c r="C22" s="327" t="str">
        <f t="shared" ref="C22:O22" si="5">C9</f>
        <v>Jun</v>
      </c>
      <c r="D22" s="328" t="str">
        <f t="shared" si="5"/>
        <v>Jul</v>
      </c>
      <c r="E22" s="328" t="str">
        <f t="shared" si="5"/>
        <v>Aug</v>
      </c>
      <c r="F22" s="328" t="str">
        <f t="shared" si="5"/>
        <v>Sept</v>
      </c>
      <c r="G22" s="328" t="str">
        <f t="shared" si="5"/>
        <v>Oct</v>
      </c>
      <c r="H22" s="328" t="str">
        <f t="shared" si="5"/>
        <v>Nov</v>
      </c>
      <c r="I22" s="328" t="str">
        <f t="shared" si="5"/>
        <v>Dec</v>
      </c>
      <c r="J22" s="328" t="str">
        <f t="shared" si="5"/>
        <v>Jan</v>
      </c>
      <c r="K22" s="328" t="str">
        <f t="shared" si="5"/>
        <v>Feb</v>
      </c>
      <c r="L22" s="328" t="str">
        <f t="shared" si="5"/>
        <v>Mar</v>
      </c>
      <c r="M22" s="328" t="str">
        <f t="shared" si="5"/>
        <v>Apr</v>
      </c>
      <c r="N22" s="328" t="str">
        <f t="shared" si="5"/>
        <v>May</v>
      </c>
      <c r="O22" s="329" t="str">
        <f t="shared" si="5"/>
        <v>Jun</v>
      </c>
      <c r="P22" s="43" t="s">
        <v>60</v>
      </c>
      <c r="Q22" s="42" t="s">
        <v>60</v>
      </c>
      <c r="R22" s="42" t="s">
        <v>60</v>
      </c>
      <c r="S22" s="44"/>
    </row>
    <row r="23" spans="1:19" x14ac:dyDescent="0.25">
      <c r="A23" s="31"/>
      <c r="B23" s="102" t="s">
        <v>169</v>
      </c>
      <c r="C23" s="103"/>
      <c r="D23" s="104"/>
      <c r="E23" s="104"/>
      <c r="F23" s="104"/>
      <c r="G23" s="104"/>
      <c r="H23" s="104"/>
      <c r="I23" s="104"/>
      <c r="J23" s="104"/>
      <c r="K23" s="104"/>
      <c r="L23" s="104"/>
      <c r="M23" s="104"/>
      <c r="N23" s="104"/>
      <c r="O23" s="105"/>
      <c r="P23" s="106"/>
      <c r="Q23" s="106"/>
      <c r="R23" s="106"/>
      <c r="S23" s="40"/>
    </row>
    <row r="24" spans="1:19" x14ac:dyDescent="0.25">
      <c r="A24" s="31"/>
      <c r="B24" s="112" t="str">
        <f>'Revenue and Cost Build-Up'!A76</f>
        <v>Water Operating Salaries</v>
      </c>
      <c r="C24" s="196">
        <v>0.3</v>
      </c>
      <c r="D24" s="133">
        <f>'Revenue and Cost Build-Up'!B79+'Revenue and Cost Build-Up'!B81+'Revenue and Cost Build-Up'!B83</f>
        <v>0.29738774999999995</v>
      </c>
      <c r="E24" s="133">
        <f>'Revenue and Cost Build-Up'!C79+'Revenue and Cost Build-Up'!C81+'Revenue and Cost Build-Up'!C83</f>
        <v>0.34866149999999996</v>
      </c>
      <c r="F24" s="133">
        <f>'Revenue and Cost Build-Up'!D79+'Revenue and Cost Build-Up'!D81+'Revenue and Cost Build-Up'!D83</f>
        <v>0.34866149999999996</v>
      </c>
      <c r="G24" s="133">
        <f>'Revenue and Cost Build-Up'!E79+'Revenue and Cost Build-Up'!E81+'Revenue and Cost Build-Up'!E83</f>
        <v>0.34866149999999996</v>
      </c>
      <c r="H24" s="133">
        <f>'Revenue and Cost Build-Up'!F79+'Revenue and Cost Build-Up'!F81+'Revenue and Cost Build-Up'!F83</f>
        <v>0.34866149999999996</v>
      </c>
      <c r="I24" s="133">
        <f>'Revenue and Cost Build-Up'!G79+'Revenue and Cost Build-Up'!G81+'Revenue and Cost Build-Up'!G83</f>
        <v>0.29738774999999995</v>
      </c>
      <c r="J24" s="133">
        <f>'Revenue and Cost Build-Up'!H79+'Revenue and Cost Build-Up'!H81+'Revenue and Cost Build-Up'!H83</f>
        <v>0.29738774999999995</v>
      </c>
      <c r="K24" s="133">
        <f>'Revenue and Cost Build-Up'!I79+'Revenue and Cost Build-Up'!I81+'Revenue and Cost Build-Up'!I83</f>
        <v>0.29738774999999995</v>
      </c>
      <c r="L24" s="133">
        <f>'Revenue and Cost Build-Up'!J79+'Revenue and Cost Build-Up'!J81+'Revenue and Cost Build-Up'!J83</f>
        <v>0.29738774999999995</v>
      </c>
      <c r="M24" s="133">
        <f>'Revenue and Cost Build-Up'!K79+'Revenue and Cost Build-Up'!K81+'Revenue and Cost Build-Up'!K83</f>
        <v>0.29738774999999995</v>
      </c>
      <c r="N24" s="133">
        <f>'Revenue and Cost Build-Up'!L79+'Revenue and Cost Build-Up'!L81+'Revenue and Cost Build-Up'!L83</f>
        <v>0.29738774999999995</v>
      </c>
      <c r="O24" s="133">
        <f>'Revenue and Cost Build-Up'!M79+'Revenue and Cost Build-Up'!M81+'Revenue and Cost Build-Up'!M83</f>
        <v>0.29738774999999995</v>
      </c>
      <c r="P24" s="134">
        <f>+C24*12</f>
        <v>3.5999999999999996</v>
      </c>
      <c r="Q24" s="134">
        <f>SUM(D24:O24)</f>
        <v>3.7737479999999994</v>
      </c>
      <c r="R24" s="134">
        <f>Q24-P24</f>
        <v>0.17374799999999979</v>
      </c>
      <c r="S24" s="194"/>
    </row>
    <row r="25" spans="1:19" x14ac:dyDescent="0.25">
      <c r="A25" s="31"/>
      <c r="B25" s="36" t="str">
        <f>'Revenue and Cost Build-Up'!A62</f>
        <v>Water Extraction Cost</v>
      </c>
      <c r="C25" s="197">
        <v>0.03</v>
      </c>
      <c r="D25" s="135">
        <f>'Revenue and Cost Build-Up'!B66</f>
        <v>8.9420131384615395E-2</v>
      </c>
      <c r="E25" s="135">
        <f>'Revenue and Cost Build-Up'!C66</f>
        <v>7.5893062153846155E-2</v>
      </c>
      <c r="F25" s="135">
        <f>'Revenue and Cost Build-Up'!D66</f>
        <v>8.1074564307692304E-2</v>
      </c>
      <c r="G25" s="135">
        <f>'Revenue and Cost Build-Up'!E66</f>
        <v>8.1759118153846136E-2</v>
      </c>
      <c r="H25" s="135">
        <f>'Revenue and Cost Build-Up'!F66</f>
        <v>8.2272533538461534E-2</v>
      </c>
      <c r="I25" s="135">
        <f>'Revenue and Cost Build-Up'!G66</f>
        <v>8.2785948923076919E-2</v>
      </c>
      <c r="J25" s="135">
        <f>'Revenue and Cost Build-Up'!H66</f>
        <v>8.3299364307692303E-2</v>
      </c>
      <c r="K25" s="135">
        <f>'Revenue and Cost Build-Up'!I66</f>
        <v>8.4613992923076933E-2</v>
      </c>
      <c r="L25" s="135">
        <f>'Revenue and Cost Build-Up'!J66</f>
        <v>0.13557046984615387</v>
      </c>
      <c r="M25" s="135">
        <f>'Revenue and Cost Build-Up'!K66</f>
        <v>0.13557046984615387</v>
      </c>
      <c r="N25" s="135">
        <f>'Revenue and Cost Build-Up'!L66</f>
        <v>0.13557046984615387</v>
      </c>
      <c r="O25" s="135">
        <f>'Revenue and Cost Build-Up'!M66</f>
        <v>0.13557046984615387</v>
      </c>
      <c r="P25" s="120">
        <f>+C25*12</f>
        <v>0.36</v>
      </c>
      <c r="Q25" s="120">
        <f>SUM(D25:O25)</f>
        <v>1.2034005950769233</v>
      </c>
      <c r="R25" s="120">
        <f>Q25-P25</f>
        <v>0.84340059507692333</v>
      </c>
      <c r="S25" s="195"/>
    </row>
    <row r="26" spans="1:19" x14ac:dyDescent="0.25">
      <c r="A26" s="31"/>
      <c r="B26" s="36" t="str">
        <f>'Revenue and Cost Build-Up'!A67</f>
        <v>Water Production Electricity Cost</v>
      </c>
      <c r="C26" s="197">
        <v>0.02</v>
      </c>
      <c r="D26" s="135">
        <f>'Revenue and Cost Build-Up'!B70</f>
        <v>0.17363132307692308</v>
      </c>
      <c r="E26" s="135">
        <f>'Revenue and Cost Build-Up'!C70</f>
        <v>3.6841292307692314E-2</v>
      </c>
      <c r="F26" s="135">
        <f>'Revenue and Cost Build-Up'!D70</f>
        <v>3.9356584615384611E-2</v>
      </c>
      <c r="G26" s="135">
        <f>'Revenue and Cost Build-Up'!E70</f>
        <v>3.9688892307692299E-2</v>
      </c>
      <c r="H26" s="135">
        <f>'Revenue and Cost Build-Up'!F70</f>
        <v>3.9938123076923078E-2</v>
      </c>
      <c r="I26" s="135">
        <f>'Revenue and Cost Build-Up'!G70</f>
        <v>4.0187353846153843E-2</v>
      </c>
      <c r="J26" s="135">
        <f>'Revenue and Cost Build-Up'!H70</f>
        <v>4.0436584615384616E-2</v>
      </c>
      <c r="K26" s="135">
        <f>'Revenue and Cost Build-Up'!I70</f>
        <v>4.1074753846153847E-2</v>
      </c>
      <c r="L26" s="135">
        <f>'Revenue and Cost Build-Up'!J70</f>
        <v>6.5810907692307713E-2</v>
      </c>
      <c r="M26" s="135">
        <f>'Revenue and Cost Build-Up'!K70</f>
        <v>6.5810907692307713E-2</v>
      </c>
      <c r="N26" s="135">
        <f>'Revenue and Cost Build-Up'!L70</f>
        <v>6.5810907692307713E-2</v>
      </c>
      <c r="O26" s="135">
        <f>'Revenue and Cost Build-Up'!M70</f>
        <v>6.5810907692307713E-2</v>
      </c>
      <c r="P26" s="120">
        <f t="shared" ref="P26:P27" si="6">+C26*12</f>
        <v>0.24</v>
      </c>
      <c r="Q26" s="120">
        <f t="shared" ref="Q26:Q27" si="7">SUM(D26:O26)</f>
        <v>0.71439853846153845</v>
      </c>
      <c r="R26" s="120">
        <f t="shared" ref="R26:R27" si="8">Q26-P26</f>
        <v>0.47439853846153845</v>
      </c>
      <c r="S26" s="195"/>
    </row>
    <row r="27" spans="1:19" x14ac:dyDescent="0.25">
      <c r="A27" s="31"/>
      <c r="B27" s="36" t="str">
        <f>'Revenue and Cost Build-Up'!A71</f>
        <v>Chemical Treatment</v>
      </c>
      <c r="C27" s="197">
        <v>0.02</v>
      </c>
      <c r="D27" s="135">
        <f>'Revenue and Cost Build-Up'!B73</f>
        <v>4.630168615384616E-2</v>
      </c>
      <c r="E27" s="135">
        <f>'Revenue and Cost Build-Up'!C73</f>
        <v>3.9297378461538468E-2</v>
      </c>
      <c r="F27" s="135">
        <f>'Revenue and Cost Build-Up'!D73</f>
        <v>4.1980356923076924E-2</v>
      </c>
      <c r="G27" s="135">
        <f>'Revenue and Cost Build-Up'!E73</f>
        <v>4.2334818461538457E-2</v>
      </c>
      <c r="H27" s="135">
        <f>'Revenue and Cost Build-Up'!F73</f>
        <v>4.2600664615384615E-2</v>
      </c>
      <c r="I27" s="135">
        <f>'Revenue and Cost Build-Up'!G73</f>
        <v>4.2866510769230773E-2</v>
      </c>
      <c r="J27" s="135">
        <f>'Revenue and Cost Build-Up'!H73</f>
        <v>4.3132356923076924E-2</v>
      </c>
      <c r="K27" s="135">
        <f>'Revenue and Cost Build-Up'!I73</f>
        <v>4.3813070769230779E-2</v>
      </c>
      <c r="L27" s="135">
        <f>'Revenue and Cost Build-Up'!J73</f>
        <v>7.0198301538461558E-2</v>
      </c>
      <c r="M27" s="135">
        <f>'Revenue and Cost Build-Up'!K73</f>
        <v>7.0198301538461558E-2</v>
      </c>
      <c r="N27" s="135">
        <f>'Revenue and Cost Build-Up'!L73</f>
        <v>7.0198301538461558E-2</v>
      </c>
      <c r="O27" s="135">
        <f>'Revenue and Cost Build-Up'!M73</f>
        <v>7.0198301538461558E-2</v>
      </c>
      <c r="P27" s="120">
        <f t="shared" si="6"/>
        <v>0.24</v>
      </c>
      <c r="Q27" s="120">
        <f t="shared" si="7"/>
        <v>0.62312004923076936</v>
      </c>
      <c r="R27" s="120">
        <f t="shared" si="8"/>
        <v>0.38312004923076937</v>
      </c>
      <c r="S27" s="195"/>
    </row>
    <row r="28" spans="1:19" x14ac:dyDescent="0.25">
      <c r="A28" s="31"/>
      <c r="B28" s="114" t="str">
        <f>'Revenue and Cost Build-Up'!A74</f>
        <v>Maintenance &amp; Repairs</v>
      </c>
      <c r="C28" s="197">
        <v>3.5000000000000003E-2</v>
      </c>
      <c r="D28" s="135">
        <f>'Revenue and Cost Build-Up'!B75</f>
        <v>0.35</v>
      </c>
      <c r="E28" s="135">
        <f>'Revenue and Cost Build-Up'!C75</f>
        <v>0.35</v>
      </c>
      <c r="F28" s="135">
        <f>'Revenue and Cost Build-Up'!D75</f>
        <v>0.35</v>
      </c>
      <c r="G28" s="135">
        <f>'Revenue and Cost Build-Up'!E75</f>
        <v>0.35</v>
      </c>
      <c r="H28" s="135">
        <f>'Revenue and Cost Build-Up'!F75</f>
        <v>0.35</v>
      </c>
      <c r="I28" s="135">
        <f>'Revenue and Cost Build-Up'!G75</f>
        <v>0.35</v>
      </c>
      <c r="J28" s="135">
        <f>'Revenue and Cost Build-Up'!H75</f>
        <v>0.35</v>
      </c>
      <c r="K28" s="135">
        <f>'Revenue and Cost Build-Up'!I75</f>
        <v>0.35</v>
      </c>
      <c r="L28" s="135">
        <f>'Revenue and Cost Build-Up'!J75</f>
        <v>0.35</v>
      </c>
      <c r="M28" s="135">
        <f>'Revenue and Cost Build-Up'!K75</f>
        <v>0.35</v>
      </c>
      <c r="N28" s="135">
        <f>'Revenue and Cost Build-Up'!L75</f>
        <v>0.35</v>
      </c>
      <c r="O28" s="135">
        <f>'Revenue and Cost Build-Up'!M75</f>
        <v>0.35</v>
      </c>
      <c r="P28" s="120">
        <f t="shared" ref="P28:P29" si="9">+C28*12</f>
        <v>0.42000000000000004</v>
      </c>
      <c r="Q28" s="120">
        <f t="shared" ref="Q28:Q29" si="10">SUM(D28:O28)</f>
        <v>4.2</v>
      </c>
      <c r="R28" s="120">
        <f t="shared" ref="R28:R29" si="11">Q28-P28</f>
        <v>3.7800000000000002</v>
      </c>
      <c r="S28" s="195"/>
    </row>
    <row r="29" spans="1:19" x14ac:dyDescent="0.25">
      <c r="A29" s="31"/>
      <c r="B29" s="114" t="str">
        <f>'Revenue and Cost Build-Up'!A84</f>
        <v>Pension Expense</v>
      </c>
      <c r="C29" s="197">
        <v>0</v>
      </c>
      <c r="D29" s="135">
        <f>'Revenue and Cost Build-Up'!B84</f>
        <v>0</v>
      </c>
      <c r="E29" s="135">
        <f>'Revenue and Cost Build-Up'!C84</f>
        <v>0</v>
      </c>
      <c r="F29" s="135">
        <f>'Revenue and Cost Build-Up'!D84</f>
        <v>0</v>
      </c>
      <c r="G29" s="135">
        <f>'Revenue and Cost Build-Up'!E84</f>
        <v>0</v>
      </c>
      <c r="H29" s="135">
        <f>'Revenue and Cost Build-Up'!F84</f>
        <v>0</v>
      </c>
      <c r="I29" s="135">
        <f>'Revenue and Cost Build-Up'!G84</f>
        <v>0</v>
      </c>
      <c r="J29" s="135">
        <f>'Revenue and Cost Build-Up'!H84</f>
        <v>0</v>
      </c>
      <c r="K29" s="135">
        <f>'Revenue and Cost Build-Up'!I84</f>
        <v>0</v>
      </c>
      <c r="L29" s="135">
        <f>'Revenue and Cost Build-Up'!J84</f>
        <v>0</v>
      </c>
      <c r="M29" s="135">
        <f>'Revenue and Cost Build-Up'!K84</f>
        <v>0</v>
      </c>
      <c r="N29" s="135">
        <f>'Revenue and Cost Build-Up'!L84</f>
        <v>0</v>
      </c>
      <c r="O29" s="135">
        <f>'Revenue and Cost Build-Up'!M84</f>
        <v>0</v>
      </c>
      <c r="P29" s="120">
        <f t="shared" si="9"/>
        <v>0</v>
      </c>
      <c r="Q29" s="120">
        <f t="shared" si="10"/>
        <v>0</v>
      </c>
      <c r="R29" s="120">
        <f t="shared" si="11"/>
        <v>0</v>
      </c>
      <c r="S29" s="195"/>
    </row>
    <row r="30" spans="1:19" x14ac:dyDescent="0.25">
      <c r="A30" s="31"/>
      <c r="B30" s="36" t="s">
        <v>45</v>
      </c>
      <c r="C30" s="197">
        <v>0.13500000000000001</v>
      </c>
      <c r="D30" s="135">
        <f>'Revenue and Cost Build-Up'!B85</f>
        <v>0.153</v>
      </c>
      <c r="E30" s="135">
        <f>'Revenue and Cost Build-Up'!C85</f>
        <v>0.153</v>
      </c>
      <c r="F30" s="135">
        <f>'Revenue and Cost Build-Up'!D85</f>
        <v>0.153</v>
      </c>
      <c r="G30" s="135">
        <f>'Revenue and Cost Build-Up'!E85</f>
        <v>0.153</v>
      </c>
      <c r="H30" s="135">
        <f>'Revenue and Cost Build-Up'!F85</f>
        <v>0.153</v>
      </c>
      <c r="I30" s="135">
        <f>'Revenue and Cost Build-Up'!G85</f>
        <v>0.153</v>
      </c>
      <c r="J30" s="135">
        <f>'Revenue and Cost Build-Up'!H85</f>
        <v>0.153</v>
      </c>
      <c r="K30" s="135">
        <f>'Revenue and Cost Build-Up'!I85</f>
        <v>0.153</v>
      </c>
      <c r="L30" s="135">
        <f>'Revenue and Cost Build-Up'!J85</f>
        <v>0.153</v>
      </c>
      <c r="M30" s="135">
        <f>'Revenue and Cost Build-Up'!K85</f>
        <v>0.153</v>
      </c>
      <c r="N30" s="135">
        <f>'Revenue and Cost Build-Up'!L85</f>
        <v>0.153</v>
      </c>
      <c r="O30" s="135">
        <f>'Revenue and Cost Build-Up'!M85</f>
        <v>0.153</v>
      </c>
      <c r="P30" s="120">
        <f>+C30*12</f>
        <v>1.62</v>
      </c>
      <c r="Q30" s="120">
        <f>SUM(D30:O30)</f>
        <v>1.8360000000000001</v>
      </c>
      <c r="R30" s="120">
        <f>Q30-P30</f>
        <v>0.21599999999999997</v>
      </c>
      <c r="S30" s="195"/>
    </row>
    <row r="31" spans="1:19" x14ac:dyDescent="0.25">
      <c r="A31" s="31"/>
      <c r="B31" s="115" t="str">
        <f>'Revenue and Cost Build-Up'!A86</f>
        <v>Other Water Operating Costs</v>
      </c>
      <c r="C31" s="198"/>
      <c r="D31" s="136">
        <f>'Revenue and Cost Build-Up'!B86</f>
        <v>0</v>
      </c>
      <c r="E31" s="136">
        <f>'Revenue and Cost Build-Up'!C86</f>
        <v>0</v>
      </c>
      <c r="F31" s="136">
        <f>'Revenue and Cost Build-Up'!D86</f>
        <v>0</v>
      </c>
      <c r="G31" s="136">
        <f>'Revenue and Cost Build-Up'!E86</f>
        <v>0</v>
      </c>
      <c r="H31" s="136">
        <f>'Revenue and Cost Build-Up'!F86</f>
        <v>0</v>
      </c>
      <c r="I31" s="136">
        <f>'Revenue and Cost Build-Up'!G86</f>
        <v>0</v>
      </c>
      <c r="J31" s="136">
        <f>'Revenue and Cost Build-Up'!H86</f>
        <v>0</v>
      </c>
      <c r="K31" s="136">
        <f>'Revenue and Cost Build-Up'!I86</f>
        <v>0</v>
      </c>
      <c r="L31" s="136">
        <f>'Revenue and Cost Build-Up'!J86</f>
        <v>0</v>
      </c>
      <c r="M31" s="136">
        <f>'Revenue and Cost Build-Up'!K86</f>
        <v>0</v>
      </c>
      <c r="N31" s="136">
        <f>'Revenue and Cost Build-Up'!L86</f>
        <v>0</v>
      </c>
      <c r="O31" s="136">
        <f>'Revenue and Cost Build-Up'!M86</f>
        <v>0</v>
      </c>
      <c r="P31" s="124">
        <f>+C31*12</f>
        <v>0</v>
      </c>
      <c r="Q31" s="124">
        <f>SUM(D31:O31)</f>
        <v>0</v>
      </c>
      <c r="R31" s="124">
        <f>Q31-P31</f>
        <v>0</v>
      </c>
      <c r="S31" s="195"/>
    </row>
    <row r="32" spans="1:19" s="28" customFormat="1" x14ac:dyDescent="0.25">
      <c r="A32" s="31"/>
      <c r="B32" s="81" t="s">
        <v>173</v>
      </c>
      <c r="C32" s="111">
        <f>SUM(C24:C30)</f>
        <v>0.54</v>
      </c>
      <c r="D32" s="137">
        <f t="shared" ref="D32:O32" si="12">SUM(D24:D30)</f>
        <v>1.1097408906153845</v>
      </c>
      <c r="E32" s="137">
        <f t="shared" si="12"/>
        <v>1.0036932329230768</v>
      </c>
      <c r="F32" s="137">
        <f t="shared" si="12"/>
        <v>1.0140730058461538</v>
      </c>
      <c r="G32" s="137">
        <f t="shared" si="12"/>
        <v>1.0154443289230768</v>
      </c>
      <c r="H32" s="137">
        <f t="shared" si="12"/>
        <v>1.0164728212307692</v>
      </c>
      <c r="I32" s="137">
        <f t="shared" si="12"/>
        <v>0.9662275635384614</v>
      </c>
      <c r="J32" s="137">
        <f t="shared" si="12"/>
        <v>0.96725605584615382</v>
      </c>
      <c r="K32" s="137">
        <f t="shared" si="12"/>
        <v>0.96988956753846156</v>
      </c>
      <c r="L32" s="137">
        <f t="shared" si="12"/>
        <v>1.071967429076923</v>
      </c>
      <c r="M32" s="137">
        <f t="shared" si="12"/>
        <v>1.071967429076923</v>
      </c>
      <c r="N32" s="137">
        <f t="shared" si="12"/>
        <v>1.071967429076923</v>
      </c>
      <c r="O32" s="137">
        <f t="shared" si="12"/>
        <v>1.071967429076923</v>
      </c>
      <c r="P32" s="124">
        <f>+C32*12</f>
        <v>6.48</v>
      </c>
      <c r="Q32" s="124">
        <f>SUM(D32:O32)</f>
        <v>12.350667182769225</v>
      </c>
      <c r="R32" s="124">
        <f>Q32-P32</f>
        <v>5.8706671827692247</v>
      </c>
      <c r="S32" s="195"/>
    </row>
    <row r="33" spans="1:51" x14ac:dyDescent="0.25">
      <c r="A33" s="31"/>
      <c r="B33" s="109" t="s">
        <v>170</v>
      </c>
      <c r="C33" s="108"/>
      <c r="D33" s="138"/>
      <c r="E33" s="138"/>
      <c r="F33" s="138"/>
      <c r="G33" s="138"/>
      <c r="H33" s="138"/>
      <c r="I33" s="138"/>
      <c r="J33" s="138"/>
      <c r="K33" s="138"/>
      <c r="L33" s="138"/>
      <c r="M33" s="138"/>
      <c r="N33" s="138"/>
      <c r="O33" s="138"/>
      <c r="P33" s="139"/>
      <c r="Q33" s="140"/>
      <c r="R33" s="140"/>
      <c r="S33" s="192"/>
    </row>
    <row r="34" spans="1:51" x14ac:dyDescent="0.25">
      <c r="A34" s="31"/>
      <c r="B34" s="112" t="str">
        <f>'Revenue and Cost Build-Up'!A88</f>
        <v>Wastewater Employee Salaries</v>
      </c>
      <c r="C34" s="199">
        <v>0.13500000000000001</v>
      </c>
      <c r="D34" s="135">
        <f>'Revenue and Cost Build-Up'!B91+'Revenue and Cost Build-Up'!B93+'Revenue and Cost Build-Up'!B95</f>
        <v>0.13517625</v>
      </c>
      <c r="E34" s="135">
        <f>'Revenue and Cost Build-Up'!C91+'Revenue and Cost Build-Up'!C93+'Revenue and Cost Build-Up'!C95</f>
        <v>0.13517625</v>
      </c>
      <c r="F34" s="135">
        <f>'Revenue and Cost Build-Up'!D91+'Revenue and Cost Build-Up'!D93+'Revenue and Cost Build-Up'!D95</f>
        <v>0.13517625</v>
      </c>
      <c r="G34" s="135">
        <f>'Revenue and Cost Build-Up'!E91+'Revenue and Cost Build-Up'!E93+'Revenue and Cost Build-Up'!E95</f>
        <v>0.13517625</v>
      </c>
      <c r="H34" s="135">
        <f>'Revenue and Cost Build-Up'!F91+'Revenue and Cost Build-Up'!F93+'Revenue and Cost Build-Up'!F95</f>
        <v>0.13517625</v>
      </c>
      <c r="I34" s="135">
        <f>'Revenue and Cost Build-Up'!G91+'Revenue and Cost Build-Up'!G93+'Revenue and Cost Build-Up'!G95</f>
        <v>0.13517625</v>
      </c>
      <c r="J34" s="135">
        <f>'Revenue and Cost Build-Up'!H91+'Revenue and Cost Build-Up'!H93+'Revenue and Cost Build-Up'!H95</f>
        <v>0.13517625</v>
      </c>
      <c r="K34" s="135">
        <f>'Revenue and Cost Build-Up'!I91+'Revenue and Cost Build-Up'!I93+'Revenue and Cost Build-Up'!I95</f>
        <v>0.13517625</v>
      </c>
      <c r="L34" s="135">
        <f>'Revenue and Cost Build-Up'!J91+'Revenue and Cost Build-Up'!J93+'Revenue and Cost Build-Up'!J95</f>
        <v>0.13517625</v>
      </c>
      <c r="M34" s="135">
        <f>'Revenue and Cost Build-Up'!K91+'Revenue and Cost Build-Up'!K93+'Revenue and Cost Build-Up'!K95</f>
        <v>0.13517625</v>
      </c>
      <c r="N34" s="135">
        <f>'Revenue and Cost Build-Up'!L91+'Revenue and Cost Build-Up'!L93+'Revenue and Cost Build-Up'!L95</f>
        <v>0.13517625</v>
      </c>
      <c r="O34" s="135">
        <f>'Revenue and Cost Build-Up'!M91+'Revenue and Cost Build-Up'!M93+'Revenue and Cost Build-Up'!M95</f>
        <v>0.13517625</v>
      </c>
      <c r="P34" s="134">
        <f>+C34*12</f>
        <v>1.62</v>
      </c>
      <c r="Q34" s="134">
        <f>SUM(D34:O34)</f>
        <v>1.622115</v>
      </c>
      <c r="R34" s="134">
        <f>Q34-P34</f>
        <v>2.114999999999867E-3</v>
      </c>
      <c r="S34" s="195"/>
    </row>
    <row r="35" spans="1:51" x14ac:dyDescent="0.25">
      <c r="A35" s="31"/>
      <c r="B35" s="113" t="str">
        <f>'Revenue and Cost Build-Up'!A97</f>
        <v>Electricity Costs</v>
      </c>
      <c r="C35" s="197">
        <v>0.02</v>
      </c>
      <c r="D35" s="135">
        <f>'Revenue and Cost Build-Up'!B97</f>
        <v>4.3830439918042675E-2</v>
      </c>
      <c r="E35" s="135">
        <f>'Revenue and Cost Build-Up'!C97</f>
        <v>3.7157957195807272E-2</v>
      </c>
      <c r="F35" s="135">
        <f>'Revenue and Cost Build-Up'!D97</f>
        <v>3.9572462649461342E-2</v>
      </c>
      <c r="G35" s="135">
        <f>'Revenue and Cost Build-Up'!E97</f>
        <v>3.9863450295603148E-2</v>
      </c>
      <c r="H35" s="135">
        <f>'Revenue and Cost Build-Up'!F97</f>
        <v>3.9879568097777429E-2</v>
      </c>
      <c r="I35" s="135">
        <f>'Revenue and Cost Build-Up'!G97</f>
        <v>3.9895498781006927E-2</v>
      </c>
      <c r="J35" s="135">
        <f>'Revenue and Cost Build-Up'!H97</f>
        <v>3.9911245585010205E-2</v>
      </c>
      <c r="K35" s="135">
        <f>'Revenue and Cost Build-Up'!I97</f>
        <v>4.0424474487838577E-2</v>
      </c>
      <c r="L35" s="135">
        <f>'Revenue and Cost Build-Up'!J97</f>
        <v>6.4769015268932723E-2</v>
      </c>
      <c r="M35" s="135">
        <f>'Revenue and Cost Build-Up'!K97</f>
        <v>6.4769015268932723E-2</v>
      </c>
      <c r="N35" s="135">
        <f>'Revenue and Cost Build-Up'!L97</f>
        <v>6.4769015268932723E-2</v>
      </c>
      <c r="O35" s="135">
        <f>'Revenue and Cost Build-Up'!M97</f>
        <v>6.4769015268932723E-2</v>
      </c>
      <c r="P35" s="120">
        <f>+C35*12</f>
        <v>0.24</v>
      </c>
      <c r="Q35" s="120">
        <f>SUM(D35:O35)</f>
        <v>0.57961115808627861</v>
      </c>
      <c r="R35" s="120">
        <f>Q35-P35</f>
        <v>0.33961115808627862</v>
      </c>
      <c r="S35" s="195"/>
    </row>
    <row r="36" spans="1:51" x14ac:dyDescent="0.25">
      <c r="A36" s="31"/>
      <c r="B36" s="114" t="str">
        <f>'Revenue and Cost Build-Up'!A98</f>
        <v>Maintenance &amp; Repairs</v>
      </c>
      <c r="C36" s="197">
        <v>6.5000000000000002E-2</v>
      </c>
      <c r="D36" s="135">
        <f>'Revenue and Cost Build-Up'!B98</f>
        <v>8.5000000000000006E-2</v>
      </c>
      <c r="E36" s="135">
        <f>'Revenue and Cost Build-Up'!C98</f>
        <v>8.5000000000000006E-2</v>
      </c>
      <c r="F36" s="135">
        <f>'Revenue and Cost Build-Up'!D98</f>
        <v>8.5000000000000006E-2</v>
      </c>
      <c r="G36" s="135">
        <f>'Revenue and Cost Build-Up'!E98</f>
        <v>8.5000000000000006E-2</v>
      </c>
      <c r="H36" s="135">
        <f>'Revenue and Cost Build-Up'!F98</f>
        <v>8.5000000000000006E-2</v>
      </c>
      <c r="I36" s="135">
        <f>'Revenue and Cost Build-Up'!G98</f>
        <v>8.5000000000000006E-2</v>
      </c>
      <c r="J36" s="135">
        <f>'Revenue and Cost Build-Up'!H98</f>
        <v>8.5000000000000006E-2</v>
      </c>
      <c r="K36" s="135">
        <f>'Revenue and Cost Build-Up'!I98</f>
        <v>8.5000000000000006E-2</v>
      </c>
      <c r="L36" s="135">
        <f>'Revenue and Cost Build-Up'!J98</f>
        <v>8.5000000000000006E-2</v>
      </c>
      <c r="M36" s="135">
        <f>'Revenue and Cost Build-Up'!K98</f>
        <v>8.5000000000000006E-2</v>
      </c>
      <c r="N36" s="135">
        <f>'Revenue and Cost Build-Up'!L98</f>
        <v>8.5000000000000006E-2</v>
      </c>
      <c r="O36" s="135">
        <f>'Revenue and Cost Build-Up'!M98</f>
        <v>8.5000000000000006E-2</v>
      </c>
      <c r="P36" s="120">
        <f>+C36*12</f>
        <v>0.78</v>
      </c>
      <c r="Q36" s="120">
        <f>SUM(D36:O36)</f>
        <v>1.0199999999999998</v>
      </c>
      <c r="R36" s="120">
        <f>Q36-P36</f>
        <v>0.23999999999999977</v>
      </c>
      <c r="S36" s="195"/>
    </row>
    <row r="37" spans="1:51" x14ac:dyDescent="0.25">
      <c r="A37" s="31"/>
      <c r="B37" s="114" t="str">
        <f>'Revenue and Cost Build-Up'!A99</f>
        <v>Administrative Expenses</v>
      </c>
      <c r="C37" s="197">
        <v>0.184</v>
      </c>
      <c r="D37" s="135">
        <f>'Revenue and Cost Build-Up'!B99</f>
        <v>0.19400000000000001</v>
      </c>
      <c r="E37" s="135">
        <f>'Revenue and Cost Build-Up'!C99</f>
        <v>0.19400000000000001</v>
      </c>
      <c r="F37" s="135">
        <f>'Revenue and Cost Build-Up'!D99</f>
        <v>0.19400000000000001</v>
      </c>
      <c r="G37" s="135">
        <f>'Revenue and Cost Build-Up'!E99</f>
        <v>0.19400000000000001</v>
      </c>
      <c r="H37" s="135">
        <f>'Revenue and Cost Build-Up'!F99</f>
        <v>0.19400000000000001</v>
      </c>
      <c r="I37" s="135">
        <f>'Revenue and Cost Build-Up'!G99</f>
        <v>0.19400000000000001</v>
      </c>
      <c r="J37" s="135">
        <f>'Revenue and Cost Build-Up'!H99</f>
        <v>0.19400000000000001</v>
      </c>
      <c r="K37" s="135">
        <f>'Revenue and Cost Build-Up'!I99</f>
        <v>0.19400000000000001</v>
      </c>
      <c r="L37" s="135">
        <f>'Revenue and Cost Build-Up'!J99</f>
        <v>0.19400000000000001</v>
      </c>
      <c r="M37" s="135">
        <f>'Revenue and Cost Build-Up'!K99</f>
        <v>0.19400000000000001</v>
      </c>
      <c r="N37" s="135">
        <f>'Revenue and Cost Build-Up'!L99</f>
        <v>0.19400000000000001</v>
      </c>
      <c r="O37" s="135">
        <f>'Revenue and Cost Build-Up'!M99</f>
        <v>0.19400000000000001</v>
      </c>
      <c r="P37" s="120">
        <f>+C37*12</f>
        <v>2.2080000000000002</v>
      </c>
      <c r="Q37" s="120">
        <f>SUM(D37:O37)</f>
        <v>2.3279999999999998</v>
      </c>
      <c r="R37" s="120">
        <f>Q37-P37</f>
        <v>0.11999999999999966</v>
      </c>
      <c r="S37" s="195"/>
    </row>
    <row r="38" spans="1:51" x14ac:dyDescent="0.25">
      <c r="A38" s="31"/>
      <c r="B38" s="37" t="str">
        <f>'Revenue and Cost Build-Up'!A100</f>
        <v>Other Wastewater Costs</v>
      </c>
      <c r="C38" s="198">
        <v>0.11</v>
      </c>
      <c r="D38" s="136">
        <f>'Revenue and Cost Build-Up'!B100</f>
        <v>0.11</v>
      </c>
      <c r="E38" s="136">
        <f>'Revenue and Cost Build-Up'!C100</f>
        <v>0.11</v>
      </c>
      <c r="F38" s="136">
        <f>'Revenue and Cost Build-Up'!D100</f>
        <v>0.11</v>
      </c>
      <c r="G38" s="136">
        <f>'Revenue and Cost Build-Up'!E100</f>
        <v>0.11</v>
      </c>
      <c r="H38" s="136">
        <f>'Revenue and Cost Build-Up'!F100</f>
        <v>0.11</v>
      </c>
      <c r="I38" s="136">
        <f>'Revenue and Cost Build-Up'!G100</f>
        <v>0.11</v>
      </c>
      <c r="J38" s="136">
        <f>'Revenue and Cost Build-Up'!H100</f>
        <v>0.11</v>
      </c>
      <c r="K38" s="136">
        <f>'Revenue and Cost Build-Up'!I100</f>
        <v>0.11</v>
      </c>
      <c r="L38" s="136">
        <f>'Revenue and Cost Build-Up'!J100</f>
        <v>0.11</v>
      </c>
      <c r="M38" s="136">
        <f>'Revenue and Cost Build-Up'!K100</f>
        <v>0.11</v>
      </c>
      <c r="N38" s="136">
        <f>'Revenue and Cost Build-Up'!L100</f>
        <v>0.11</v>
      </c>
      <c r="O38" s="136">
        <f>'Revenue and Cost Build-Up'!M100</f>
        <v>0.11</v>
      </c>
      <c r="P38" s="124">
        <f>+C38*12</f>
        <v>1.32</v>
      </c>
      <c r="Q38" s="124">
        <f>SUM(D38:O38)</f>
        <v>1.3200000000000003</v>
      </c>
      <c r="R38" s="124">
        <f>Q38-P38</f>
        <v>0</v>
      </c>
      <c r="S38" s="195"/>
    </row>
    <row r="39" spans="1:51" x14ac:dyDescent="0.25">
      <c r="A39" s="31"/>
      <c r="B39" s="81" t="s">
        <v>176</v>
      </c>
      <c r="C39" s="111">
        <f>SUM(C34:C38)</f>
        <v>0.51400000000000001</v>
      </c>
      <c r="D39" s="137">
        <f t="shared" ref="D39:P39" si="13">SUM(D34:D38)</f>
        <v>0.56800668991804271</v>
      </c>
      <c r="E39" s="137">
        <f t="shared" si="13"/>
        <v>0.56133420719580729</v>
      </c>
      <c r="F39" s="137">
        <f t="shared" si="13"/>
        <v>0.56374871264946136</v>
      </c>
      <c r="G39" s="137">
        <f t="shared" si="13"/>
        <v>0.56403970029560313</v>
      </c>
      <c r="H39" s="137">
        <f t="shared" si="13"/>
        <v>0.56405581809777749</v>
      </c>
      <c r="I39" s="137">
        <f t="shared" si="13"/>
        <v>0.56407174878100697</v>
      </c>
      <c r="J39" s="137">
        <f t="shared" si="13"/>
        <v>0.56408749558501026</v>
      </c>
      <c r="K39" s="137">
        <f t="shared" si="13"/>
        <v>0.5646007244878386</v>
      </c>
      <c r="L39" s="137">
        <f t="shared" si="13"/>
        <v>0.58894526526893276</v>
      </c>
      <c r="M39" s="137">
        <f t="shared" si="13"/>
        <v>0.58894526526893276</v>
      </c>
      <c r="N39" s="137">
        <f t="shared" si="13"/>
        <v>0.58894526526893276</v>
      </c>
      <c r="O39" s="137">
        <f t="shared" si="13"/>
        <v>0.58894526526893276</v>
      </c>
      <c r="P39" s="141">
        <f t="shared" si="13"/>
        <v>6.168000000000001</v>
      </c>
      <c r="Q39" s="140"/>
      <c r="R39" s="140"/>
      <c r="S39" s="192"/>
    </row>
    <row r="40" spans="1:51" x14ac:dyDescent="0.25">
      <c r="A40" s="31"/>
      <c r="B40" s="101" t="str">
        <f>'Revenue and Cost Build-Up'!A103</f>
        <v>Other Direct Costs</v>
      </c>
      <c r="C40" s="200">
        <v>0.01</v>
      </c>
      <c r="D40" s="142">
        <f>'Revenue and Cost Build-Up'!B103</f>
        <v>0.1</v>
      </c>
      <c r="E40" s="136">
        <f>'Revenue and Cost Build-Up'!C103</f>
        <v>0.1</v>
      </c>
      <c r="F40" s="136">
        <f>'Revenue and Cost Build-Up'!D103</f>
        <v>0.1</v>
      </c>
      <c r="G40" s="136">
        <f>'Revenue and Cost Build-Up'!E103</f>
        <v>0.1</v>
      </c>
      <c r="H40" s="136">
        <f>'Revenue and Cost Build-Up'!F103</f>
        <v>0.1</v>
      </c>
      <c r="I40" s="136">
        <f>'Revenue and Cost Build-Up'!G103</f>
        <v>0.1</v>
      </c>
      <c r="J40" s="136">
        <f>'Revenue and Cost Build-Up'!H103</f>
        <v>0.1</v>
      </c>
      <c r="K40" s="136">
        <f>'Revenue and Cost Build-Up'!I103</f>
        <v>0.1</v>
      </c>
      <c r="L40" s="136">
        <f>'Revenue and Cost Build-Up'!J103</f>
        <v>0.1</v>
      </c>
      <c r="M40" s="136">
        <f>'Revenue and Cost Build-Up'!K103</f>
        <v>0.1</v>
      </c>
      <c r="N40" s="136">
        <f>'Revenue and Cost Build-Up'!L103</f>
        <v>0.1</v>
      </c>
      <c r="O40" s="136">
        <f>'Revenue and Cost Build-Up'!M103</f>
        <v>0.1</v>
      </c>
      <c r="P40" s="140">
        <f>+C40*12</f>
        <v>0.12</v>
      </c>
      <c r="Q40" s="120">
        <f>SUM(D40:O40)</f>
        <v>1.2</v>
      </c>
      <c r="R40" s="120">
        <f>Q40-P40</f>
        <v>1.08</v>
      </c>
      <c r="S40" s="192"/>
    </row>
    <row r="41" spans="1:51" x14ac:dyDescent="0.25">
      <c r="A41" s="31"/>
      <c r="B41" s="74" t="s">
        <v>179</v>
      </c>
      <c r="C41" s="201">
        <f>C32+C39+C40</f>
        <v>1.0640000000000001</v>
      </c>
      <c r="D41" s="143">
        <f>D32+D39+D40</f>
        <v>1.7777475805334273</v>
      </c>
      <c r="E41" s="143">
        <f t="shared" ref="E41:O41" si="14">E32+E39+E40</f>
        <v>1.6650274401188843</v>
      </c>
      <c r="F41" s="143">
        <f t="shared" si="14"/>
        <v>1.6778217184956152</v>
      </c>
      <c r="G41" s="143">
        <f t="shared" si="14"/>
        <v>1.6794840292186799</v>
      </c>
      <c r="H41" s="143">
        <f t="shared" si="14"/>
        <v>1.6805286393285468</v>
      </c>
      <c r="I41" s="143">
        <f t="shared" si="14"/>
        <v>1.6302993123194685</v>
      </c>
      <c r="J41" s="143">
        <f t="shared" si="14"/>
        <v>1.6313435514311641</v>
      </c>
      <c r="K41" s="143">
        <f t="shared" si="14"/>
        <v>1.6344902920263003</v>
      </c>
      <c r="L41" s="143">
        <f t="shared" si="14"/>
        <v>1.7609126943458557</v>
      </c>
      <c r="M41" s="143">
        <f t="shared" si="14"/>
        <v>1.7609126943458557</v>
      </c>
      <c r="N41" s="143">
        <f t="shared" si="14"/>
        <v>1.7609126943458557</v>
      </c>
      <c r="O41" s="143">
        <f t="shared" si="14"/>
        <v>1.7609126943458557</v>
      </c>
      <c r="P41" s="144">
        <f>+C41*12</f>
        <v>12.768000000000001</v>
      </c>
      <c r="Q41" s="131">
        <f>SUM(D41:O41)</f>
        <v>20.420393340855505</v>
      </c>
      <c r="R41" s="131">
        <f>Q41-P41</f>
        <v>7.6523933408555038</v>
      </c>
      <c r="S41" s="192"/>
    </row>
    <row r="42" spans="1:51" x14ac:dyDescent="0.25">
      <c r="A42" s="31"/>
      <c r="B42" s="37" t="s">
        <v>69</v>
      </c>
      <c r="C42" s="202">
        <v>0.01</v>
      </c>
      <c r="D42" s="190">
        <v>0.01</v>
      </c>
      <c r="E42" s="190">
        <v>0.01</v>
      </c>
      <c r="F42" s="190">
        <v>0.01</v>
      </c>
      <c r="G42" s="190">
        <v>0.01</v>
      </c>
      <c r="H42" s="190">
        <v>0.01</v>
      </c>
      <c r="I42" s="190">
        <v>0.01</v>
      </c>
      <c r="J42" s="190">
        <v>0.01</v>
      </c>
      <c r="K42" s="190">
        <v>0.01</v>
      </c>
      <c r="L42" s="190">
        <v>0.01</v>
      </c>
      <c r="M42" s="190">
        <v>0.01</v>
      </c>
      <c r="N42" s="190">
        <v>0.01</v>
      </c>
      <c r="O42" s="190">
        <v>0.01</v>
      </c>
      <c r="P42" s="145">
        <f>+C42*12</f>
        <v>0.12</v>
      </c>
      <c r="Q42" s="140">
        <f>SUM(D42:O42)</f>
        <v>0.11999999999999998</v>
      </c>
      <c r="R42" s="140">
        <f>Q42-P42</f>
        <v>0</v>
      </c>
      <c r="S42" s="192"/>
    </row>
    <row r="43" spans="1:51" x14ac:dyDescent="0.25">
      <c r="A43" s="31"/>
      <c r="B43" s="37" t="s">
        <v>175</v>
      </c>
      <c r="C43" s="202">
        <v>1.2E-2</v>
      </c>
      <c r="D43" s="203">
        <v>1.2E-2</v>
      </c>
      <c r="E43" s="203">
        <v>1.2E-2</v>
      </c>
      <c r="F43" s="203">
        <v>1.2E-2</v>
      </c>
      <c r="G43" s="203">
        <v>1.2E-2</v>
      </c>
      <c r="H43" s="203">
        <v>1.2E-2</v>
      </c>
      <c r="I43" s="203">
        <v>1.2E-2</v>
      </c>
      <c r="J43" s="203">
        <v>1.2E-2</v>
      </c>
      <c r="K43" s="203">
        <v>1.2E-2</v>
      </c>
      <c r="L43" s="203">
        <v>1.2E-2</v>
      </c>
      <c r="M43" s="203">
        <v>1.2E-2</v>
      </c>
      <c r="N43" s="203">
        <v>1.2E-2</v>
      </c>
      <c r="O43" s="203">
        <v>1.2E-2</v>
      </c>
      <c r="P43" s="145">
        <f>+C43*12</f>
        <v>0.14400000000000002</v>
      </c>
      <c r="Q43" s="140">
        <f>SUM(D43:O43)</f>
        <v>0.14399999999999999</v>
      </c>
      <c r="R43" s="140">
        <f>Q43-P43</f>
        <v>0</v>
      </c>
      <c r="S43" s="192"/>
    </row>
    <row r="44" spans="1:51" x14ac:dyDescent="0.25">
      <c r="A44" s="31"/>
      <c r="B44" s="74" t="s">
        <v>28</v>
      </c>
      <c r="C44" s="69">
        <f>C41+C42+C43</f>
        <v>1.0860000000000001</v>
      </c>
      <c r="D44" s="146">
        <f>D41+D42+D43</f>
        <v>1.7997475805334273</v>
      </c>
      <c r="E44" s="146">
        <f t="shared" ref="E44:O44" si="15">E41+E42+E43</f>
        <v>1.6870274401188843</v>
      </c>
      <c r="F44" s="146">
        <f t="shared" si="15"/>
        <v>1.6998217184956153</v>
      </c>
      <c r="G44" s="146">
        <f t="shared" si="15"/>
        <v>1.7014840292186799</v>
      </c>
      <c r="H44" s="146">
        <f t="shared" si="15"/>
        <v>1.7025286393285468</v>
      </c>
      <c r="I44" s="146">
        <f t="shared" si="15"/>
        <v>1.6522993123194685</v>
      </c>
      <c r="J44" s="146">
        <f t="shared" si="15"/>
        <v>1.6533435514311641</v>
      </c>
      <c r="K44" s="146">
        <f t="shared" si="15"/>
        <v>1.6564902920263003</v>
      </c>
      <c r="L44" s="146">
        <f t="shared" si="15"/>
        <v>1.7829126943458558</v>
      </c>
      <c r="M44" s="146">
        <f t="shared" si="15"/>
        <v>1.7829126943458558</v>
      </c>
      <c r="N44" s="146">
        <f t="shared" si="15"/>
        <v>1.7829126943458558</v>
      </c>
      <c r="O44" s="146">
        <f t="shared" si="15"/>
        <v>1.7829126943458558</v>
      </c>
      <c r="P44" s="147">
        <f>+P41+P42</f>
        <v>12.888</v>
      </c>
      <c r="Q44" s="132">
        <f>+Q41+Q42</f>
        <v>20.540393340855505</v>
      </c>
      <c r="R44" s="132">
        <f t="shared" ref="R44" si="16">+R41+R42</f>
        <v>7.6523933408555038</v>
      </c>
      <c r="S44" s="192"/>
    </row>
    <row r="45" spans="1:51" x14ac:dyDescent="0.25">
      <c r="A45" s="31"/>
      <c r="B45" s="38" t="s">
        <v>70</v>
      </c>
      <c r="C45" s="156">
        <f t="shared" ref="C45:R45" si="17">+C19-C44</f>
        <v>1.8140000000000003</v>
      </c>
      <c r="D45" s="148">
        <f t="shared" si="17"/>
        <v>-0.80790594143495786</v>
      </c>
      <c r="E45" s="148">
        <f t="shared" si="17"/>
        <v>-0.51857615210923935</v>
      </c>
      <c r="F45" s="148">
        <f t="shared" si="17"/>
        <v>-0.59341970163755908</v>
      </c>
      <c r="G45" s="148">
        <f t="shared" si="17"/>
        <v>-0.33744136427995386</v>
      </c>
      <c r="H45" s="148">
        <f t="shared" si="17"/>
        <v>-0.3359230025218829</v>
      </c>
      <c r="I45" s="148">
        <f t="shared" si="17"/>
        <v>-0.58313224737616132</v>
      </c>
      <c r="J45" s="148">
        <f t="shared" si="17"/>
        <v>-0.12159817463727385</v>
      </c>
      <c r="K45" s="148">
        <f t="shared" si="17"/>
        <v>-0.15850301781852005</v>
      </c>
      <c r="L45" s="148">
        <f t="shared" si="17"/>
        <v>0.35530351560196904</v>
      </c>
      <c r="M45" s="148">
        <f t="shared" si="17"/>
        <v>0.35530351560196904</v>
      </c>
      <c r="N45" s="148">
        <f t="shared" si="17"/>
        <v>0.35530351560196904</v>
      </c>
      <c r="O45" s="149">
        <f t="shared" si="17"/>
        <v>0.35530351560196904</v>
      </c>
      <c r="P45" s="148">
        <f t="shared" si="17"/>
        <v>21.912000000000006</v>
      </c>
      <c r="Q45" s="150">
        <f t="shared" si="17"/>
        <v>-1.8912855394076651</v>
      </c>
      <c r="R45" s="150">
        <f t="shared" si="17"/>
        <v>-23.803285539407668</v>
      </c>
      <c r="S45" s="192"/>
    </row>
    <row r="46" spans="1:51" x14ac:dyDescent="0.25">
      <c r="A46" s="31"/>
      <c r="B46" s="73" t="s">
        <v>71</v>
      </c>
      <c r="C46" s="204">
        <v>0.04</v>
      </c>
      <c r="D46" s="205">
        <v>0</v>
      </c>
      <c r="E46" s="205">
        <v>0</v>
      </c>
      <c r="F46" s="205">
        <v>0</v>
      </c>
      <c r="G46" s="205">
        <v>0</v>
      </c>
      <c r="H46" s="205">
        <v>0</v>
      </c>
      <c r="I46" s="205">
        <v>0</v>
      </c>
      <c r="J46" s="205">
        <v>0</v>
      </c>
      <c r="K46" s="205">
        <v>0</v>
      </c>
      <c r="L46" s="205">
        <v>0</v>
      </c>
      <c r="M46" s="205">
        <v>0</v>
      </c>
      <c r="N46" s="205">
        <v>0</v>
      </c>
      <c r="O46" s="205">
        <v>0</v>
      </c>
      <c r="P46" s="145">
        <f>+C46*12</f>
        <v>0.48</v>
      </c>
      <c r="Q46" s="140">
        <f>SUM(D46:O46)</f>
        <v>0</v>
      </c>
      <c r="R46" s="140">
        <f>Q46-P46</f>
        <v>-0.48</v>
      </c>
      <c r="S46" s="192"/>
    </row>
    <row r="47" spans="1:51" s="25" customFormat="1" x14ac:dyDescent="0.25">
      <c r="A47" s="31"/>
      <c r="B47" s="74" t="s">
        <v>187</v>
      </c>
      <c r="C47" s="97">
        <f>+C45-C46</f>
        <v>1.7740000000000002</v>
      </c>
      <c r="D47" s="148">
        <f>+D45-D46</f>
        <v>-0.80790594143495786</v>
      </c>
      <c r="E47" s="148">
        <f t="shared" ref="E47:O47" si="18">+E45-E46</f>
        <v>-0.51857615210923935</v>
      </c>
      <c r="F47" s="148">
        <f t="shared" si="18"/>
        <v>-0.59341970163755908</v>
      </c>
      <c r="G47" s="148">
        <f t="shared" si="18"/>
        <v>-0.33744136427995386</v>
      </c>
      <c r="H47" s="148">
        <f t="shared" si="18"/>
        <v>-0.3359230025218829</v>
      </c>
      <c r="I47" s="148">
        <f t="shared" si="18"/>
        <v>-0.58313224737616132</v>
      </c>
      <c r="J47" s="148">
        <f t="shared" si="18"/>
        <v>-0.12159817463727385</v>
      </c>
      <c r="K47" s="148">
        <f t="shared" si="18"/>
        <v>-0.15850301781852005</v>
      </c>
      <c r="L47" s="148">
        <f t="shared" si="18"/>
        <v>0.35530351560196904</v>
      </c>
      <c r="M47" s="148">
        <f t="shared" si="18"/>
        <v>0.35530351560196904</v>
      </c>
      <c r="N47" s="148">
        <f t="shared" si="18"/>
        <v>0.35530351560196904</v>
      </c>
      <c r="O47" s="148">
        <f t="shared" si="18"/>
        <v>0.35530351560196904</v>
      </c>
      <c r="P47" s="151">
        <f>+C47*12</f>
        <v>21.288000000000004</v>
      </c>
      <c r="Q47" s="124">
        <f>SUM(D47:O47)</f>
        <v>-2.0352855394076714</v>
      </c>
      <c r="R47" s="151">
        <f>Q47-P47</f>
        <v>-23.323285539407674</v>
      </c>
      <c r="S47" s="152"/>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row>
    <row r="48" spans="1:51" s="25" customFormat="1" ht="14.25" customHeight="1" x14ac:dyDescent="0.25">
      <c r="A48" s="31"/>
      <c r="B48" s="55"/>
      <c r="C48" s="55"/>
      <c r="D48" s="116"/>
      <c r="E48" s="116"/>
      <c r="F48" s="116"/>
      <c r="G48" s="116"/>
      <c r="H48" s="116"/>
      <c r="I48" s="116"/>
      <c r="J48" s="116"/>
      <c r="K48" s="116"/>
      <c r="L48" s="116"/>
      <c r="M48" s="116"/>
      <c r="N48" s="116"/>
      <c r="O48" s="117"/>
      <c r="P48" s="118"/>
      <c r="Q48" s="118"/>
      <c r="R48" s="118"/>
      <c r="S48" s="55"/>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row>
    <row r="49" spans="1:51" s="25" customFormat="1" ht="27.75" customHeight="1" x14ac:dyDescent="0.25">
      <c r="A49" s="31"/>
      <c r="B49" s="154" t="s">
        <v>184</v>
      </c>
      <c r="C49" s="54"/>
      <c r="D49" s="160"/>
      <c r="E49" s="160"/>
      <c r="F49" s="160"/>
      <c r="G49" s="160"/>
      <c r="H49" s="160"/>
      <c r="I49" s="160"/>
      <c r="J49" s="160"/>
      <c r="K49" s="160"/>
      <c r="L49" s="160"/>
      <c r="M49" s="160"/>
      <c r="N49" s="160"/>
      <c r="O49" s="110"/>
      <c r="P49" s="158" t="s">
        <v>67</v>
      </c>
      <c r="Q49" s="71" t="s">
        <v>66</v>
      </c>
      <c r="R49" s="72" t="s">
        <v>68</v>
      </c>
      <c r="S49" s="41" t="s">
        <v>43</v>
      </c>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row>
    <row r="50" spans="1:51" s="25" customFormat="1" ht="14.25" customHeight="1" x14ac:dyDescent="0.25">
      <c r="A50" s="31"/>
      <c r="B50" s="159"/>
      <c r="C50" s="176" t="str">
        <f t="shared" ref="C50:O50" si="19">C22</f>
        <v>Jun</v>
      </c>
      <c r="D50" s="177" t="str">
        <f t="shared" si="19"/>
        <v>Jul</v>
      </c>
      <c r="E50" s="177" t="str">
        <f t="shared" si="19"/>
        <v>Aug</v>
      </c>
      <c r="F50" s="177" t="str">
        <f t="shared" si="19"/>
        <v>Sept</v>
      </c>
      <c r="G50" s="177" t="str">
        <f t="shared" si="19"/>
        <v>Oct</v>
      </c>
      <c r="H50" s="177" t="str">
        <f t="shared" si="19"/>
        <v>Nov</v>
      </c>
      <c r="I50" s="177" t="str">
        <f t="shared" si="19"/>
        <v>Dec</v>
      </c>
      <c r="J50" s="177" t="str">
        <f t="shared" si="19"/>
        <v>Jan</v>
      </c>
      <c r="K50" s="177" t="str">
        <f t="shared" si="19"/>
        <v>Feb</v>
      </c>
      <c r="L50" s="177" t="str">
        <f t="shared" si="19"/>
        <v>Mar</v>
      </c>
      <c r="M50" s="177" t="str">
        <f t="shared" si="19"/>
        <v>Apr</v>
      </c>
      <c r="N50" s="177" t="str">
        <f t="shared" si="19"/>
        <v>May</v>
      </c>
      <c r="O50" s="178" t="str">
        <f t="shared" si="19"/>
        <v>Jun</v>
      </c>
      <c r="P50" s="95" t="s">
        <v>60</v>
      </c>
      <c r="Q50" s="43" t="s">
        <v>60</v>
      </c>
      <c r="R50" s="42" t="s">
        <v>60</v>
      </c>
      <c r="S50" s="44"/>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row>
    <row r="51" spans="1:51" ht="15.95" customHeight="1" x14ac:dyDescent="0.25">
      <c r="A51" s="31"/>
      <c r="B51" s="153" t="str">
        <f>+B47</f>
        <v>PROFIT AFTER TAXES (assumes cash collections)</v>
      </c>
      <c r="C51" s="356">
        <f>+C47</f>
        <v>1.7740000000000002</v>
      </c>
      <c r="D51" s="162">
        <f t="shared" ref="D51:O51" si="20">+D47</f>
        <v>-0.80790594143495786</v>
      </c>
      <c r="E51" s="162">
        <f t="shared" si="20"/>
        <v>-0.51857615210923935</v>
      </c>
      <c r="F51" s="162">
        <f t="shared" si="20"/>
        <v>-0.59341970163755908</v>
      </c>
      <c r="G51" s="162">
        <f t="shared" si="20"/>
        <v>-0.33744136427995386</v>
      </c>
      <c r="H51" s="162">
        <f t="shared" si="20"/>
        <v>-0.3359230025218829</v>
      </c>
      <c r="I51" s="162">
        <f t="shared" si="20"/>
        <v>-0.58313224737616132</v>
      </c>
      <c r="J51" s="162">
        <f t="shared" si="20"/>
        <v>-0.12159817463727385</v>
      </c>
      <c r="K51" s="162">
        <f t="shared" si="20"/>
        <v>-0.15850301781852005</v>
      </c>
      <c r="L51" s="162">
        <f t="shared" si="20"/>
        <v>0.35530351560196904</v>
      </c>
      <c r="M51" s="162">
        <f t="shared" si="20"/>
        <v>0.35530351560196904</v>
      </c>
      <c r="N51" s="162">
        <f t="shared" si="20"/>
        <v>0.35530351560196904</v>
      </c>
      <c r="O51" s="161">
        <f t="shared" si="20"/>
        <v>0.35530351560196904</v>
      </c>
      <c r="P51" s="163">
        <f t="shared" ref="P51:P58" si="21">+C51*12</f>
        <v>21.288000000000004</v>
      </c>
      <c r="Q51" s="134">
        <f t="shared" ref="Q51:Q58" si="22">SUM(D51:O51)</f>
        <v>-2.0352855394076714</v>
      </c>
      <c r="R51" s="120">
        <f t="shared" ref="R51:R58" si="23">Q51-P51</f>
        <v>-23.323285539407674</v>
      </c>
      <c r="S51" s="191"/>
    </row>
    <row r="52" spans="1:51" ht="15.95" customHeight="1" x14ac:dyDescent="0.25">
      <c r="A52" s="31"/>
      <c r="B52" s="157" t="s">
        <v>72</v>
      </c>
      <c r="C52" s="357">
        <f>+C43</f>
        <v>1.2E-2</v>
      </c>
      <c r="D52" s="355">
        <f>+D43</f>
        <v>1.2E-2</v>
      </c>
      <c r="E52" s="354">
        <f t="shared" ref="E52:O52" si="24">+E43</f>
        <v>1.2E-2</v>
      </c>
      <c r="F52" s="354">
        <f t="shared" si="24"/>
        <v>1.2E-2</v>
      </c>
      <c r="G52" s="354">
        <f t="shared" si="24"/>
        <v>1.2E-2</v>
      </c>
      <c r="H52" s="354">
        <f t="shared" si="24"/>
        <v>1.2E-2</v>
      </c>
      <c r="I52" s="354">
        <f t="shared" si="24"/>
        <v>1.2E-2</v>
      </c>
      <c r="J52" s="354">
        <f t="shared" si="24"/>
        <v>1.2E-2</v>
      </c>
      <c r="K52" s="354">
        <f t="shared" si="24"/>
        <v>1.2E-2</v>
      </c>
      <c r="L52" s="354">
        <f t="shared" si="24"/>
        <v>1.2E-2</v>
      </c>
      <c r="M52" s="354">
        <f t="shared" si="24"/>
        <v>1.2E-2</v>
      </c>
      <c r="N52" s="354">
        <f t="shared" si="24"/>
        <v>1.2E-2</v>
      </c>
      <c r="O52" s="164">
        <f t="shared" si="24"/>
        <v>1.2E-2</v>
      </c>
      <c r="P52" s="165">
        <f t="shared" si="21"/>
        <v>0.14400000000000002</v>
      </c>
      <c r="Q52" s="120">
        <f t="shared" si="22"/>
        <v>0.14399999999999999</v>
      </c>
      <c r="R52" s="120">
        <f t="shared" si="23"/>
        <v>0</v>
      </c>
      <c r="S52" s="192"/>
    </row>
    <row r="53" spans="1:51" ht="15.95" customHeight="1" x14ac:dyDescent="0.25">
      <c r="A53" s="31"/>
      <c r="B53" s="79" t="s">
        <v>73</v>
      </c>
      <c r="C53" s="166">
        <f>+C51+C52</f>
        <v>1.7860000000000003</v>
      </c>
      <c r="D53" s="355">
        <f t="shared" ref="D53:O53" si="25">+D51+D52</f>
        <v>-0.79590594143495785</v>
      </c>
      <c r="E53" s="354">
        <f t="shared" si="25"/>
        <v>-0.50657615210923934</v>
      </c>
      <c r="F53" s="354">
        <f t="shared" si="25"/>
        <v>-0.58141970163755907</v>
      </c>
      <c r="G53" s="354">
        <f t="shared" si="25"/>
        <v>-0.32544136427995385</v>
      </c>
      <c r="H53" s="354">
        <f t="shared" si="25"/>
        <v>-0.32392300252188289</v>
      </c>
      <c r="I53" s="354">
        <f t="shared" si="25"/>
        <v>-0.57113224737616131</v>
      </c>
      <c r="J53" s="354">
        <f t="shared" si="25"/>
        <v>-0.10959817463727385</v>
      </c>
      <c r="K53" s="354">
        <f t="shared" si="25"/>
        <v>-0.14650301781852004</v>
      </c>
      <c r="L53" s="354">
        <f t="shared" si="25"/>
        <v>0.36730351560196906</v>
      </c>
      <c r="M53" s="354">
        <f t="shared" si="25"/>
        <v>0.36730351560196906</v>
      </c>
      <c r="N53" s="354">
        <f t="shared" si="25"/>
        <v>0.36730351560196906</v>
      </c>
      <c r="O53" s="168">
        <f t="shared" si="25"/>
        <v>0.36730351560196906</v>
      </c>
      <c r="P53" s="145">
        <f t="shared" si="21"/>
        <v>21.432000000000002</v>
      </c>
      <c r="Q53" s="140">
        <f t="shared" si="22"/>
        <v>-1.8912855394076729</v>
      </c>
      <c r="R53" s="140">
        <f t="shared" si="23"/>
        <v>-23.323285539407674</v>
      </c>
      <c r="S53" s="192"/>
    </row>
    <row r="54" spans="1:51" ht="15.95" customHeight="1" x14ac:dyDescent="0.25">
      <c r="A54" s="31"/>
      <c r="B54" s="80" t="s">
        <v>74</v>
      </c>
      <c r="C54" s="347">
        <v>0.1</v>
      </c>
      <c r="D54" s="203">
        <v>0.1</v>
      </c>
      <c r="E54" s="203">
        <v>0.1</v>
      </c>
      <c r="F54" s="203">
        <v>0.1</v>
      </c>
      <c r="G54" s="203">
        <v>0.1</v>
      </c>
      <c r="H54" s="203">
        <v>0.1</v>
      </c>
      <c r="I54" s="203">
        <v>0.1</v>
      </c>
      <c r="J54" s="203">
        <v>0.1</v>
      </c>
      <c r="K54" s="203">
        <v>0.1</v>
      </c>
      <c r="L54" s="203">
        <v>0.1</v>
      </c>
      <c r="M54" s="203">
        <v>0.1</v>
      </c>
      <c r="N54" s="203">
        <v>0.1</v>
      </c>
      <c r="O54" s="203">
        <v>0.1</v>
      </c>
      <c r="P54" s="145">
        <f t="shared" si="21"/>
        <v>1.2000000000000002</v>
      </c>
      <c r="Q54" s="140">
        <f t="shared" si="22"/>
        <v>1.2</v>
      </c>
      <c r="R54" s="140">
        <f t="shared" si="23"/>
        <v>0</v>
      </c>
      <c r="S54" s="192"/>
    </row>
    <row r="55" spans="1:51" ht="15.95" customHeight="1" x14ac:dyDescent="0.25">
      <c r="A55" s="31"/>
      <c r="B55" s="80" t="s">
        <v>75</v>
      </c>
      <c r="C55" s="166">
        <f>+C53-C54</f>
        <v>1.6860000000000002</v>
      </c>
      <c r="D55" s="148">
        <f>+D53-D54</f>
        <v>-0.89590594143495783</v>
      </c>
      <c r="E55" s="148">
        <f t="shared" ref="E55:O55" si="26">+E53-E54</f>
        <v>-0.60657615210923932</v>
      </c>
      <c r="F55" s="148">
        <f t="shared" si="26"/>
        <v>-0.68141970163755905</v>
      </c>
      <c r="G55" s="148">
        <f t="shared" si="26"/>
        <v>-0.42544136427995383</v>
      </c>
      <c r="H55" s="148">
        <f t="shared" si="26"/>
        <v>-0.42392300252188286</v>
      </c>
      <c r="I55" s="148">
        <f t="shared" si="26"/>
        <v>-0.67113224737616128</v>
      </c>
      <c r="J55" s="148">
        <f t="shared" si="26"/>
        <v>-0.20959817463727387</v>
      </c>
      <c r="K55" s="148">
        <f t="shared" si="26"/>
        <v>-0.24650301781852005</v>
      </c>
      <c r="L55" s="148">
        <f t="shared" si="26"/>
        <v>0.26730351560196908</v>
      </c>
      <c r="M55" s="148">
        <f t="shared" si="26"/>
        <v>0.26730351560196908</v>
      </c>
      <c r="N55" s="148">
        <f t="shared" si="26"/>
        <v>0.26730351560196908</v>
      </c>
      <c r="O55" s="148">
        <f t="shared" si="26"/>
        <v>0.26730351560196908</v>
      </c>
      <c r="P55" s="145">
        <f t="shared" si="21"/>
        <v>20.232000000000003</v>
      </c>
      <c r="Q55" s="140">
        <f t="shared" si="22"/>
        <v>-3.0912855394076715</v>
      </c>
      <c r="R55" s="140">
        <f>Q55-P55</f>
        <v>-23.323285539407674</v>
      </c>
      <c r="S55" s="192"/>
    </row>
    <row r="56" spans="1:51" ht="15.95" customHeight="1" x14ac:dyDescent="0.25">
      <c r="A56" s="31"/>
      <c r="B56" s="79" t="s">
        <v>76</v>
      </c>
      <c r="C56" s="166">
        <f>C68</f>
        <v>0</v>
      </c>
      <c r="D56" s="169">
        <f>D68</f>
        <v>0.05</v>
      </c>
      <c r="E56" s="167">
        <f>E68</f>
        <v>0.2</v>
      </c>
      <c r="F56" s="167">
        <f>F68</f>
        <v>0</v>
      </c>
      <c r="G56" s="167">
        <f t="shared" ref="G56:O56" si="27">G68</f>
        <v>0</v>
      </c>
      <c r="H56" s="167">
        <f t="shared" si="27"/>
        <v>0</v>
      </c>
      <c r="I56" s="167">
        <f t="shared" si="27"/>
        <v>0</v>
      </c>
      <c r="J56" s="167">
        <f t="shared" si="27"/>
        <v>0</v>
      </c>
      <c r="K56" s="167">
        <f t="shared" si="27"/>
        <v>0</v>
      </c>
      <c r="L56" s="167">
        <f t="shared" si="27"/>
        <v>0</v>
      </c>
      <c r="M56" s="167">
        <f t="shared" si="27"/>
        <v>0.3</v>
      </c>
      <c r="N56" s="167">
        <f t="shared" si="27"/>
        <v>0</v>
      </c>
      <c r="O56" s="167">
        <f t="shared" si="27"/>
        <v>0</v>
      </c>
      <c r="P56" s="145">
        <f t="shared" si="21"/>
        <v>0</v>
      </c>
      <c r="Q56" s="140">
        <f t="shared" si="22"/>
        <v>0.55000000000000004</v>
      </c>
      <c r="R56" s="140">
        <f t="shared" si="23"/>
        <v>0.55000000000000004</v>
      </c>
      <c r="S56" s="192"/>
    </row>
    <row r="57" spans="1:51" ht="15.95" customHeight="1" x14ac:dyDescent="0.25">
      <c r="A57" s="31"/>
      <c r="B57" s="80" t="s">
        <v>84</v>
      </c>
      <c r="C57" s="166">
        <v>0</v>
      </c>
      <c r="D57" s="348"/>
      <c r="E57" s="203"/>
      <c r="F57" s="203"/>
      <c r="G57" s="203"/>
      <c r="H57" s="203"/>
      <c r="I57" s="203"/>
      <c r="J57" s="203"/>
      <c r="K57" s="203"/>
      <c r="L57" s="203"/>
      <c r="M57" s="203"/>
      <c r="N57" s="203"/>
      <c r="O57" s="203"/>
      <c r="P57" s="145">
        <f t="shared" si="21"/>
        <v>0</v>
      </c>
      <c r="Q57" s="140">
        <f t="shared" si="22"/>
        <v>0</v>
      </c>
      <c r="R57" s="140">
        <f t="shared" si="23"/>
        <v>0</v>
      </c>
      <c r="S57" s="192"/>
    </row>
    <row r="58" spans="1:51" ht="15.95" customHeight="1" x14ac:dyDescent="0.25">
      <c r="A58" s="31"/>
      <c r="B58" s="79" t="s">
        <v>85</v>
      </c>
      <c r="C58" s="184">
        <f>C55-C56+C57</f>
        <v>1.6860000000000002</v>
      </c>
      <c r="D58" s="147">
        <f>+D55-D56+D57</f>
        <v>-0.94590594143495788</v>
      </c>
      <c r="E58" s="130">
        <f>+E55-E56+E57</f>
        <v>-0.80657615210923939</v>
      </c>
      <c r="F58" s="130">
        <f t="shared" ref="F58:O58" si="28">+F55-F56+F57</f>
        <v>-0.68141970163755905</v>
      </c>
      <c r="G58" s="130">
        <f t="shared" si="28"/>
        <v>-0.42544136427995383</v>
      </c>
      <c r="H58" s="130">
        <f t="shared" si="28"/>
        <v>-0.42392300252188286</v>
      </c>
      <c r="I58" s="130">
        <f t="shared" si="28"/>
        <v>-0.67113224737616128</v>
      </c>
      <c r="J58" s="130">
        <f t="shared" si="28"/>
        <v>-0.20959817463727387</v>
      </c>
      <c r="K58" s="130">
        <f t="shared" si="28"/>
        <v>-0.24650301781852005</v>
      </c>
      <c r="L58" s="130">
        <f t="shared" si="28"/>
        <v>0.26730351560196908</v>
      </c>
      <c r="M58" s="130">
        <f t="shared" si="28"/>
        <v>-3.2696484398030912E-2</v>
      </c>
      <c r="N58" s="130">
        <f t="shared" si="28"/>
        <v>0.26730351560196908</v>
      </c>
      <c r="O58" s="130">
        <f t="shared" si="28"/>
        <v>0.26730351560196908</v>
      </c>
      <c r="P58" s="144">
        <f t="shared" si="21"/>
        <v>20.232000000000003</v>
      </c>
      <c r="Q58" s="131">
        <f t="shared" si="22"/>
        <v>-3.6412855394076713</v>
      </c>
      <c r="R58" s="131">
        <f t="shared" si="23"/>
        <v>-23.873285539407675</v>
      </c>
      <c r="S58" s="193"/>
    </row>
    <row r="59" spans="1:51" ht="15.95" customHeight="1" x14ac:dyDescent="0.25">
      <c r="A59" s="31"/>
      <c r="B59" s="34"/>
      <c r="D59" s="64"/>
      <c r="E59" s="65"/>
      <c r="F59" s="64"/>
      <c r="G59" s="63"/>
      <c r="H59" s="63"/>
      <c r="I59" s="63"/>
      <c r="J59" s="63"/>
      <c r="K59" s="63"/>
      <c r="L59" s="63"/>
      <c r="M59" s="63"/>
      <c r="N59" s="63"/>
      <c r="O59" s="63"/>
      <c r="P59" s="31"/>
      <c r="Q59" s="31"/>
      <c r="R59" s="31"/>
      <c r="S59" s="31"/>
    </row>
    <row r="60" spans="1:51" x14ac:dyDescent="0.25">
      <c r="A60" s="25"/>
      <c r="B60" s="172" t="s">
        <v>77</v>
      </c>
      <c r="C60" s="28"/>
      <c r="D60" s="56"/>
      <c r="E60" s="56"/>
      <c r="F60" s="56"/>
      <c r="G60" s="56"/>
      <c r="H60" s="56"/>
      <c r="I60" s="56"/>
      <c r="J60" s="56"/>
      <c r="K60" s="56"/>
      <c r="L60" s="56"/>
      <c r="M60" s="56"/>
      <c r="N60" s="56"/>
      <c r="O60" s="56"/>
      <c r="P60" s="28"/>
      <c r="Q60" s="28"/>
      <c r="R60" s="28"/>
      <c r="S60" s="31"/>
    </row>
    <row r="61" spans="1:51" ht="30" customHeight="1" x14ac:dyDescent="0.25">
      <c r="A61" s="31"/>
      <c r="B61" s="378" t="s">
        <v>78</v>
      </c>
      <c r="C61" s="379"/>
      <c r="D61" s="379"/>
      <c r="E61" s="379"/>
      <c r="F61" s="379"/>
      <c r="G61" s="379"/>
      <c r="H61" s="379"/>
      <c r="I61" s="379"/>
      <c r="J61" s="379"/>
      <c r="K61" s="379"/>
      <c r="L61" s="379"/>
      <c r="M61" s="170"/>
      <c r="N61" s="170"/>
      <c r="O61" s="171"/>
      <c r="P61" s="68" t="s">
        <v>67</v>
      </c>
      <c r="Q61" s="71" t="s">
        <v>66</v>
      </c>
      <c r="R61" s="182" t="s">
        <v>68</v>
      </c>
      <c r="S61" s="174" t="s">
        <v>181</v>
      </c>
    </row>
    <row r="62" spans="1:51" s="28" customFormat="1" ht="13.5" customHeight="1" x14ac:dyDescent="0.25">
      <c r="A62" s="31"/>
      <c r="B62" s="173"/>
      <c r="C62" s="180" t="str">
        <f>C50</f>
        <v>Jun</v>
      </c>
      <c r="D62" s="175" t="str">
        <f t="shared" ref="D62:O62" si="29">D50</f>
        <v>Jul</v>
      </c>
      <c r="E62" s="175" t="str">
        <f t="shared" si="29"/>
        <v>Aug</v>
      </c>
      <c r="F62" s="175" t="str">
        <f t="shared" si="29"/>
        <v>Sept</v>
      </c>
      <c r="G62" s="175" t="str">
        <f t="shared" si="29"/>
        <v>Oct</v>
      </c>
      <c r="H62" s="175" t="str">
        <f t="shared" si="29"/>
        <v>Nov</v>
      </c>
      <c r="I62" s="175" t="str">
        <f t="shared" si="29"/>
        <v>Dec</v>
      </c>
      <c r="J62" s="175" t="str">
        <f t="shared" si="29"/>
        <v>Jan</v>
      </c>
      <c r="K62" s="175" t="str">
        <f t="shared" si="29"/>
        <v>Feb</v>
      </c>
      <c r="L62" s="175" t="str">
        <f t="shared" si="29"/>
        <v>Mar</v>
      </c>
      <c r="M62" s="175" t="str">
        <f t="shared" si="29"/>
        <v>Apr</v>
      </c>
      <c r="N62" s="175" t="str">
        <f t="shared" si="29"/>
        <v>May</v>
      </c>
      <c r="O62" s="175" t="str">
        <f t="shared" si="29"/>
        <v>Jun</v>
      </c>
      <c r="P62" s="42" t="s">
        <v>60</v>
      </c>
      <c r="Q62" s="43" t="s">
        <v>60</v>
      </c>
      <c r="R62" s="43" t="s">
        <v>60</v>
      </c>
      <c r="S62" s="183"/>
    </row>
    <row r="63" spans="1:51" ht="15.95" customHeight="1" x14ac:dyDescent="0.25">
      <c r="A63" s="31"/>
      <c r="B63" s="206" t="s">
        <v>190</v>
      </c>
      <c r="C63" s="207"/>
      <c r="D63" s="208"/>
      <c r="E63" s="209"/>
      <c r="F63" s="208"/>
      <c r="G63" s="208"/>
      <c r="H63" s="208"/>
      <c r="I63" s="208"/>
      <c r="J63" s="208"/>
      <c r="K63" s="208"/>
      <c r="L63" s="208"/>
      <c r="M63" s="208">
        <v>0.3</v>
      </c>
      <c r="N63" s="208"/>
      <c r="O63" s="208"/>
      <c r="P63" s="107">
        <f t="shared" ref="P63:P68" si="30">+C63*12</f>
        <v>0</v>
      </c>
      <c r="Q63" s="107">
        <f t="shared" ref="Q63:Q68" si="31">SUM(D63:O63)</f>
        <v>0.3</v>
      </c>
      <c r="R63" s="107">
        <f t="shared" ref="R63:R68" si="32">Q63-P63</f>
        <v>0.3</v>
      </c>
      <c r="S63" s="192"/>
    </row>
    <row r="64" spans="1:51" ht="15.95" customHeight="1" x14ac:dyDescent="0.25">
      <c r="A64" s="31"/>
      <c r="B64" s="210" t="s">
        <v>83</v>
      </c>
      <c r="C64" s="211"/>
      <c r="D64" s="212"/>
      <c r="E64" s="213">
        <v>0.2</v>
      </c>
      <c r="F64" s="212"/>
      <c r="G64" s="212"/>
      <c r="H64" s="212"/>
      <c r="I64" s="212"/>
      <c r="J64" s="212"/>
      <c r="K64" s="212"/>
      <c r="L64" s="212"/>
      <c r="M64" s="212"/>
      <c r="N64" s="212"/>
      <c r="O64" s="212"/>
      <c r="P64" s="98">
        <f t="shared" si="30"/>
        <v>0</v>
      </c>
      <c r="Q64" s="98">
        <f t="shared" si="31"/>
        <v>0.2</v>
      </c>
      <c r="R64" s="98">
        <f t="shared" si="32"/>
        <v>0.2</v>
      </c>
      <c r="S64" s="192"/>
    </row>
    <row r="65" spans="1:23" ht="15.95" customHeight="1" x14ac:dyDescent="0.25">
      <c r="A65" s="31"/>
      <c r="B65" s="210" t="s">
        <v>82</v>
      </c>
      <c r="C65" s="211"/>
      <c r="D65" s="212">
        <v>0.05</v>
      </c>
      <c r="E65" s="213"/>
      <c r="F65" s="212"/>
      <c r="G65" s="212"/>
      <c r="H65" s="212"/>
      <c r="I65" s="212"/>
      <c r="J65" s="212"/>
      <c r="K65" s="212"/>
      <c r="L65" s="212"/>
      <c r="M65" s="212"/>
      <c r="N65" s="212"/>
      <c r="O65" s="212"/>
      <c r="P65" s="98">
        <f t="shared" si="30"/>
        <v>0</v>
      </c>
      <c r="Q65" s="98">
        <f t="shared" si="31"/>
        <v>0.05</v>
      </c>
      <c r="R65" s="98">
        <f t="shared" si="32"/>
        <v>0.05</v>
      </c>
      <c r="S65" s="192"/>
    </row>
    <row r="66" spans="1:23" ht="15.95" customHeight="1" x14ac:dyDescent="0.25">
      <c r="A66" s="31"/>
      <c r="B66" s="210" t="s">
        <v>79</v>
      </c>
      <c r="C66" s="211"/>
      <c r="D66" s="212"/>
      <c r="E66" s="213"/>
      <c r="F66" s="212"/>
      <c r="G66" s="212"/>
      <c r="H66" s="212"/>
      <c r="I66" s="212"/>
      <c r="J66" s="212"/>
      <c r="K66" s="212"/>
      <c r="L66" s="212"/>
      <c r="M66" s="212"/>
      <c r="N66" s="212"/>
      <c r="O66" s="212"/>
      <c r="P66" s="98">
        <f t="shared" si="30"/>
        <v>0</v>
      </c>
      <c r="Q66" s="98">
        <f t="shared" si="31"/>
        <v>0</v>
      </c>
      <c r="R66" s="98">
        <f t="shared" si="32"/>
        <v>0</v>
      </c>
      <c r="S66" s="192"/>
    </row>
    <row r="67" spans="1:23" ht="15.95" customHeight="1" x14ac:dyDescent="0.25">
      <c r="A67" s="31"/>
      <c r="B67" s="214" t="s">
        <v>80</v>
      </c>
      <c r="C67" s="215"/>
      <c r="D67" s="216"/>
      <c r="E67" s="217"/>
      <c r="F67" s="216"/>
      <c r="G67" s="216"/>
      <c r="H67" s="216"/>
      <c r="I67" s="216"/>
      <c r="J67" s="216"/>
      <c r="K67" s="216"/>
      <c r="L67" s="216"/>
      <c r="M67" s="216"/>
      <c r="N67" s="216"/>
      <c r="O67" s="216"/>
      <c r="P67" s="99">
        <f t="shared" si="30"/>
        <v>0</v>
      </c>
      <c r="Q67" s="99">
        <f t="shared" si="31"/>
        <v>0</v>
      </c>
      <c r="R67" s="99">
        <f t="shared" si="32"/>
        <v>0</v>
      </c>
      <c r="S67" s="192"/>
    </row>
    <row r="68" spans="1:23" x14ac:dyDescent="0.25">
      <c r="A68" s="31"/>
      <c r="B68" s="81" t="s">
        <v>81</v>
      </c>
      <c r="C68" s="181">
        <f>SUM(C63:C67)</f>
        <v>0</v>
      </c>
      <c r="D68" s="179">
        <f t="shared" ref="D68:N68" si="33">SUM(D63:D67)</f>
        <v>0.05</v>
      </c>
      <c r="E68" s="179">
        <f t="shared" si="33"/>
        <v>0.2</v>
      </c>
      <c r="F68" s="179">
        <f t="shared" si="33"/>
        <v>0</v>
      </c>
      <c r="G68" s="179">
        <f t="shared" si="33"/>
        <v>0</v>
      </c>
      <c r="H68" s="179">
        <f t="shared" si="33"/>
        <v>0</v>
      </c>
      <c r="I68" s="179">
        <f t="shared" si="33"/>
        <v>0</v>
      </c>
      <c r="J68" s="179">
        <f t="shared" si="33"/>
        <v>0</v>
      </c>
      <c r="K68" s="179">
        <f t="shared" si="33"/>
        <v>0</v>
      </c>
      <c r="L68" s="179">
        <f t="shared" si="33"/>
        <v>0</v>
      </c>
      <c r="M68" s="179">
        <f t="shared" si="33"/>
        <v>0.3</v>
      </c>
      <c r="N68" s="179">
        <f t="shared" si="33"/>
        <v>0</v>
      </c>
      <c r="O68" s="82"/>
      <c r="P68" s="100">
        <f t="shared" si="30"/>
        <v>0</v>
      </c>
      <c r="Q68" s="100">
        <f t="shared" si="31"/>
        <v>0.55000000000000004</v>
      </c>
      <c r="R68" s="100">
        <f t="shared" si="32"/>
        <v>0.55000000000000004</v>
      </c>
      <c r="S68" s="193"/>
    </row>
    <row r="69" spans="1:23" x14ac:dyDescent="0.25">
      <c r="A69" s="31"/>
      <c r="B69" s="349"/>
      <c r="C69" s="350"/>
      <c r="D69" s="350"/>
      <c r="E69" s="350"/>
      <c r="F69" s="350"/>
      <c r="G69" s="350"/>
      <c r="H69" s="350"/>
      <c r="I69" s="350"/>
      <c r="J69" s="350"/>
      <c r="K69" s="350"/>
      <c r="L69" s="350"/>
      <c r="M69" s="350"/>
      <c r="N69" s="350"/>
      <c r="O69" s="351"/>
      <c r="P69" s="352"/>
      <c r="Q69" s="352"/>
      <c r="R69" s="352"/>
      <c r="S69" s="353"/>
    </row>
    <row r="70" spans="1:23" s="28" customFormat="1" ht="18.75" x14ac:dyDescent="0.3">
      <c r="B70" s="94" t="s">
        <v>165</v>
      </c>
      <c r="E70" s="358"/>
      <c r="F70" s="358"/>
      <c r="G70" s="358"/>
      <c r="S70" s="31"/>
    </row>
    <row r="71" spans="1:23" s="28" customFormat="1" ht="18.75" x14ac:dyDescent="0.3">
      <c r="B71" s="92" t="s">
        <v>182</v>
      </c>
      <c r="D71" s="56"/>
      <c r="E71" s="56"/>
      <c r="G71" s="359"/>
      <c r="H71" s="376" t="s">
        <v>188</v>
      </c>
      <c r="I71" s="376"/>
      <c r="J71" s="376"/>
      <c r="K71" s="376"/>
      <c r="L71" s="376"/>
      <c r="M71" s="376"/>
      <c r="N71" s="376"/>
      <c r="O71" s="376"/>
      <c r="P71" s="376"/>
      <c r="Q71" s="376"/>
      <c r="R71" s="376"/>
    </row>
    <row r="72" spans="1:23" s="28" customFormat="1" x14ac:dyDescent="0.25">
      <c r="B72" s="93" t="s">
        <v>166</v>
      </c>
      <c r="D72" s="56"/>
      <c r="E72" s="56"/>
      <c r="F72" s="56"/>
      <c r="G72" s="56"/>
      <c r="H72" s="377" t="s">
        <v>189</v>
      </c>
      <c r="I72" s="377"/>
      <c r="J72" s="377"/>
      <c r="K72" s="377"/>
      <c r="L72" s="377"/>
      <c r="M72" s="377"/>
      <c r="N72" s="377"/>
      <c r="O72" s="377"/>
      <c r="P72" s="377"/>
      <c r="Q72" s="377"/>
      <c r="R72" s="377"/>
      <c r="S72" s="359"/>
      <c r="T72" s="359"/>
      <c r="U72" s="359"/>
      <c r="V72" s="359"/>
      <c r="W72" s="359"/>
    </row>
    <row r="73" spans="1:23" s="28" customFormat="1" x14ac:dyDescent="0.25">
      <c r="D73" s="56"/>
      <c r="E73" s="56"/>
      <c r="F73" s="56"/>
      <c r="G73" s="56"/>
      <c r="H73" s="56"/>
      <c r="I73" s="56"/>
      <c r="J73" s="56"/>
      <c r="K73" s="56"/>
      <c r="L73" s="56"/>
      <c r="M73" s="56"/>
      <c r="N73" s="56"/>
      <c r="O73" s="56"/>
    </row>
    <row r="74" spans="1:23" s="28" customFormat="1" x14ac:dyDescent="0.25">
      <c r="D74" s="56"/>
      <c r="E74" s="56"/>
      <c r="F74" s="56"/>
      <c r="G74" s="56"/>
      <c r="H74" s="56"/>
      <c r="I74" s="56"/>
      <c r="J74" s="56"/>
      <c r="K74" s="56"/>
      <c r="L74" s="56"/>
      <c r="M74" s="56"/>
      <c r="N74" s="56"/>
      <c r="O74" s="56"/>
    </row>
    <row r="75" spans="1:23" s="28" customFormat="1" x14ac:dyDescent="0.25">
      <c r="D75" s="56"/>
      <c r="E75" s="56"/>
      <c r="F75" s="56"/>
      <c r="G75" s="56"/>
      <c r="H75" s="56"/>
      <c r="I75" s="56"/>
      <c r="J75" s="56"/>
      <c r="K75" s="56"/>
      <c r="L75" s="56"/>
      <c r="M75" s="56"/>
      <c r="N75" s="56"/>
      <c r="O75" s="56"/>
    </row>
    <row r="76" spans="1:23" s="28" customFormat="1" x14ac:dyDescent="0.25">
      <c r="D76" s="56"/>
      <c r="E76" s="56"/>
      <c r="F76" s="56"/>
      <c r="G76" s="56"/>
      <c r="H76" s="56"/>
      <c r="I76" s="56"/>
      <c r="J76" s="56"/>
      <c r="K76" s="56"/>
      <c r="L76" s="56"/>
      <c r="M76" s="56"/>
      <c r="N76" s="56"/>
      <c r="O76" s="56"/>
    </row>
    <row r="77" spans="1:23" s="28" customFormat="1" x14ac:dyDescent="0.25">
      <c r="D77" s="56"/>
      <c r="E77" s="56"/>
      <c r="F77" s="56"/>
      <c r="G77" s="56"/>
      <c r="H77" s="56"/>
      <c r="I77" s="56"/>
      <c r="J77" s="56"/>
      <c r="K77" s="56"/>
      <c r="L77" s="56"/>
      <c r="M77" s="56"/>
      <c r="N77" s="56"/>
      <c r="O77" s="56"/>
    </row>
    <row r="78" spans="1:23" s="28" customFormat="1" x14ac:dyDescent="0.25">
      <c r="D78" s="56"/>
      <c r="E78" s="56"/>
      <c r="F78" s="56"/>
      <c r="G78" s="56"/>
      <c r="H78" s="56"/>
      <c r="I78" s="56"/>
      <c r="J78" s="56"/>
      <c r="K78" s="56"/>
      <c r="L78" s="56"/>
      <c r="M78" s="56"/>
      <c r="N78" s="56"/>
      <c r="O78" s="56"/>
    </row>
    <row r="79" spans="1:23" s="28" customFormat="1" x14ac:dyDescent="0.25">
      <c r="D79" s="56"/>
      <c r="E79" s="56"/>
      <c r="F79" s="56"/>
      <c r="G79" s="56"/>
      <c r="H79" s="56"/>
      <c r="I79" s="56"/>
      <c r="J79" s="56"/>
      <c r="K79" s="56"/>
      <c r="L79" s="56"/>
      <c r="M79" s="56"/>
      <c r="N79" s="56"/>
      <c r="O79" s="56"/>
    </row>
    <row r="80" spans="1:23" s="28" customFormat="1" x14ac:dyDescent="0.25">
      <c r="D80" s="56"/>
      <c r="E80" s="56"/>
      <c r="F80" s="56"/>
      <c r="G80" s="56"/>
      <c r="H80" s="56"/>
      <c r="I80" s="56"/>
      <c r="J80" s="56"/>
      <c r="K80" s="56"/>
      <c r="L80" s="56"/>
      <c r="M80" s="56"/>
      <c r="N80" s="56"/>
      <c r="O80" s="56"/>
    </row>
    <row r="81" spans="4:15" s="28" customFormat="1" x14ac:dyDescent="0.25">
      <c r="D81" s="56"/>
      <c r="E81" s="56"/>
      <c r="F81" s="56"/>
      <c r="G81" s="56"/>
      <c r="H81" s="56"/>
      <c r="I81" s="56"/>
      <c r="J81" s="56"/>
      <c r="K81" s="56"/>
      <c r="L81" s="56"/>
      <c r="M81" s="56"/>
      <c r="N81" s="56"/>
      <c r="O81" s="56"/>
    </row>
    <row r="82" spans="4:15" s="28" customFormat="1" x14ac:dyDescent="0.25">
      <c r="D82" s="56"/>
      <c r="E82" s="56"/>
      <c r="F82" s="56"/>
      <c r="G82" s="56"/>
      <c r="H82" s="56"/>
      <c r="I82" s="56"/>
      <c r="J82" s="56"/>
      <c r="K82" s="56"/>
      <c r="L82" s="56"/>
      <c r="M82" s="56"/>
      <c r="N82" s="56"/>
      <c r="O82" s="56"/>
    </row>
    <row r="83" spans="4:15" s="28" customFormat="1" x14ac:dyDescent="0.25">
      <c r="D83" s="56"/>
      <c r="E83" s="56"/>
      <c r="F83" s="56"/>
      <c r="G83" s="56"/>
      <c r="H83" s="56"/>
      <c r="I83" s="56"/>
      <c r="J83" s="56"/>
      <c r="K83" s="56"/>
      <c r="L83" s="56"/>
      <c r="M83" s="56"/>
      <c r="N83" s="56"/>
      <c r="O83" s="56"/>
    </row>
    <row r="84" spans="4:15" s="28" customFormat="1" x14ac:dyDescent="0.25">
      <c r="D84" s="56"/>
      <c r="E84" s="56"/>
      <c r="F84" s="56"/>
      <c r="G84" s="56"/>
      <c r="H84" s="56"/>
      <c r="I84" s="56"/>
      <c r="J84" s="56"/>
      <c r="K84" s="56"/>
      <c r="L84" s="56"/>
      <c r="M84" s="56"/>
      <c r="N84" s="56"/>
      <c r="O84" s="56"/>
    </row>
    <row r="85" spans="4:15" s="28" customFormat="1" x14ac:dyDescent="0.25">
      <c r="D85" s="56"/>
      <c r="E85" s="56"/>
      <c r="F85" s="56"/>
      <c r="G85" s="56"/>
      <c r="H85" s="56"/>
      <c r="I85" s="56"/>
      <c r="J85" s="56"/>
      <c r="K85" s="56"/>
      <c r="L85" s="56"/>
      <c r="M85" s="56"/>
      <c r="N85" s="56"/>
      <c r="O85" s="56"/>
    </row>
    <row r="86" spans="4:15" s="28" customFormat="1" x14ac:dyDescent="0.25">
      <c r="D86" s="56"/>
      <c r="E86" s="56"/>
      <c r="F86" s="56"/>
      <c r="G86" s="56"/>
      <c r="H86" s="56"/>
      <c r="I86" s="56"/>
      <c r="J86" s="56"/>
      <c r="K86" s="56"/>
      <c r="L86" s="56"/>
      <c r="M86" s="56"/>
      <c r="N86" s="56"/>
      <c r="O86" s="56"/>
    </row>
    <row r="87" spans="4:15" s="28" customFormat="1" x14ac:dyDescent="0.25">
      <c r="D87" s="56"/>
      <c r="E87" s="56"/>
      <c r="F87" s="56"/>
      <c r="G87" s="56"/>
      <c r="H87" s="56"/>
      <c r="I87" s="56"/>
      <c r="J87" s="56"/>
      <c r="K87" s="56"/>
      <c r="L87" s="56"/>
      <c r="M87" s="56"/>
      <c r="N87" s="56"/>
      <c r="O87" s="56"/>
    </row>
    <row r="88" spans="4:15" s="28" customFormat="1" x14ac:dyDescent="0.25">
      <c r="D88" s="56"/>
      <c r="E88" s="56"/>
      <c r="F88" s="56"/>
      <c r="G88" s="56"/>
      <c r="H88" s="56"/>
      <c r="I88" s="56"/>
      <c r="J88" s="56"/>
      <c r="K88" s="56"/>
      <c r="L88" s="56"/>
      <c r="M88" s="56"/>
      <c r="N88" s="56"/>
      <c r="O88" s="56"/>
    </row>
    <row r="89" spans="4:15" s="28" customFormat="1" x14ac:dyDescent="0.25">
      <c r="D89" s="56"/>
      <c r="E89" s="56"/>
      <c r="F89" s="56"/>
      <c r="G89" s="56"/>
      <c r="H89" s="56"/>
      <c r="I89" s="56"/>
      <c r="J89" s="56"/>
      <c r="K89" s="56"/>
      <c r="L89" s="56"/>
      <c r="M89" s="56"/>
      <c r="N89" s="56"/>
      <c r="O89" s="56"/>
    </row>
    <row r="90" spans="4:15" s="28" customFormat="1" x14ac:dyDescent="0.25">
      <c r="D90" s="56"/>
      <c r="E90" s="56"/>
      <c r="F90" s="56"/>
      <c r="G90" s="56"/>
      <c r="H90" s="56"/>
      <c r="I90" s="56"/>
      <c r="J90" s="56"/>
      <c r="K90" s="56"/>
      <c r="L90" s="56"/>
      <c r="M90" s="56"/>
      <c r="N90" s="56"/>
      <c r="O90" s="56"/>
    </row>
    <row r="91" spans="4:15" s="28" customFormat="1" x14ac:dyDescent="0.25">
      <c r="D91" s="56"/>
      <c r="E91" s="56"/>
      <c r="F91" s="56"/>
      <c r="G91" s="56"/>
      <c r="H91" s="56"/>
      <c r="I91" s="56"/>
      <c r="J91" s="56"/>
      <c r="K91" s="56"/>
      <c r="L91" s="56"/>
      <c r="M91" s="56"/>
      <c r="N91" s="56"/>
      <c r="O91" s="56"/>
    </row>
    <row r="92" spans="4:15" s="28" customFormat="1" x14ac:dyDescent="0.25">
      <c r="E92" s="56"/>
      <c r="F92" s="56"/>
      <c r="G92" s="56"/>
      <c r="H92" s="56"/>
      <c r="I92" s="56"/>
      <c r="J92" s="56"/>
      <c r="K92" s="56"/>
      <c r="L92" s="56"/>
      <c r="M92" s="56"/>
      <c r="N92" s="56"/>
      <c r="O92" s="56"/>
    </row>
    <row r="93" spans="4:15" s="28" customFormat="1" x14ac:dyDescent="0.25">
      <c r="D93" s="56"/>
      <c r="E93" s="56"/>
      <c r="F93" s="56"/>
      <c r="G93" s="56"/>
      <c r="H93" s="56"/>
      <c r="I93" s="56"/>
      <c r="J93" s="56"/>
      <c r="K93" s="56"/>
      <c r="L93" s="56"/>
      <c r="M93" s="56"/>
      <c r="N93" s="56"/>
      <c r="O93" s="56"/>
    </row>
    <row r="94" spans="4:15" s="28" customFormat="1" x14ac:dyDescent="0.25">
      <c r="D94" s="56"/>
      <c r="E94" s="56"/>
      <c r="F94" s="56"/>
      <c r="G94" s="56"/>
      <c r="H94" s="56"/>
      <c r="I94" s="56"/>
      <c r="J94" s="56"/>
      <c r="K94" s="56"/>
      <c r="L94" s="56"/>
      <c r="M94" s="56"/>
      <c r="N94" s="56"/>
      <c r="O94" s="56"/>
    </row>
    <row r="95" spans="4:15" s="28" customFormat="1" x14ac:dyDescent="0.25">
      <c r="D95" s="56"/>
      <c r="E95" s="56"/>
      <c r="F95" s="56"/>
      <c r="G95" s="56"/>
      <c r="H95" s="56"/>
      <c r="I95" s="56"/>
      <c r="J95" s="56"/>
      <c r="K95" s="56"/>
      <c r="L95" s="56"/>
      <c r="M95" s="56"/>
      <c r="N95" s="56"/>
      <c r="O95" s="56"/>
    </row>
    <row r="96" spans="4:15" s="28" customFormat="1" x14ac:dyDescent="0.25">
      <c r="D96" s="56"/>
      <c r="E96" s="56"/>
      <c r="F96" s="56"/>
      <c r="G96" s="56"/>
      <c r="H96" s="56"/>
      <c r="I96" s="56"/>
      <c r="J96" s="56"/>
      <c r="K96" s="56"/>
      <c r="L96" s="56"/>
      <c r="M96" s="56"/>
      <c r="N96" s="56"/>
      <c r="O96" s="56"/>
    </row>
    <row r="97" spans="4:15" s="28" customFormat="1" x14ac:dyDescent="0.25">
      <c r="D97" s="56"/>
      <c r="E97" s="56"/>
      <c r="F97" s="56"/>
      <c r="G97" s="56"/>
      <c r="H97" s="56"/>
      <c r="I97" s="56"/>
      <c r="J97" s="56"/>
      <c r="K97" s="56"/>
      <c r="L97" s="56"/>
      <c r="M97" s="56"/>
      <c r="N97" s="56"/>
      <c r="O97" s="56"/>
    </row>
    <row r="98" spans="4:15" s="28" customFormat="1" x14ac:dyDescent="0.25">
      <c r="D98" s="56"/>
      <c r="E98" s="56"/>
      <c r="F98" s="56"/>
      <c r="G98" s="56"/>
      <c r="H98" s="56"/>
      <c r="I98" s="56"/>
      <c r="J98" s="56"/>
      <c r="K98" s="56"/>
      <c r="L98" s="56"/>
      <c r="M98" s="56"/>
      <c r="N98" s="56"/>
      <c r="O98" s="56"/>
    </row>
    <row r="99" spans="4:15" s="28" customFormat="1" x14ac:dyDescent="0.25">
      <c r="D99" s="56"/>
      <c r="E99" s="56"/>
      <c r="F99" s="56"/>
      <c r="G99" s="56"/>
      <c r="H99" s="56"/>
      <c r="I99" s="56"/>
      <c r="J99" s="56"/>
      <c r="K99" s="56"/>
      <c r="L99" s="56"/>
      <c r="M99" s="56"/>
      <c r="N99" s="56"/>
      <c r="O99" s="56"/>
    </row>
    <row r="100" spans="4:15" s="28" customFormat="1" x14ac:dyDescent="0.25">
      <c r="D100" s="56"/>
      <c r="E100" s="56"/>
      <c r="F100" s="56"/>
      <c r="G100" s="56"/>
      <c r="H100" s="56"/>
      <c r="I100" s="56"/>
      <c r="J100" s="56"/>
      <c r="K100" s="56"/>
      <c r="L100" s="56"/>
      <c r="M100" s="56"/>
      <c r="N100" s="56"/>
      <c r="O100" s="56"/>
    </row>
    <row r="101" spans="4:15" s="28" customFormat="1" x14ac:dyDescent="0.25">
      <c r="D101" s="56"/>
      <c r="E101" s="56"/>
      <c r="F101" s="56"/>
      <c r="G101" s="56"/>
      <c r="H101" s="56"/>
      <c r="I101" s="56"/>
      <c r="J101" s="56"/>
      <c r="K101" s="56"/>
      <c r="L101" s="56"/>
      <c r="M101" s="56"/>
      <c r="N101" s="56"/>
      <c r="O101" s="56"/>
    </row>
    <row r="102" spans="4:15" s="28" customFormat="1" x14ac:dyDescent="0.25">
      <c r="D102" s="56"/>
      <c r="E102" s="56"/>
      <c r="F102" s="56"/>
      <c r="G102" s="56"/>
      <c r="H102" s="56"/>
      <c r="I102" s="56"/>
      <c r="J102" s="56"/>
      <c r="K102" s="56"/>
      <c r="L102" s="56"/>
      <c r="M102" s="56"/>
      <c r="N102" s="56"/>
      <c r="O102" s="56"/>
    </row>
    <row r="103" spans="4:15" s="28" customFormat="1" x14ac:dyDescent="0.25">
      <c r="D103" s="56"/>
      <c r="E103" s="56"/>
      <c r="F103" s="56"/>
      <c r="G103" s="56"/>
      <c r="H103" s="56"/>
      <c r="I103" s="56"/>
      <c r="J103" s="56"/>
      <c r="K103" s="56"/>
      <c r="L103" s="56"/>
      <c r="M103" s="56"/>
      <c r="N103" s="56"/>
      <c r="O103" s="56"/>
    </row>
    <row r="104" spans="4:15" s="28" customFormat="1" x14ac:dyDescent="0.25">
      <c r="D104" s="56"/>
      <c r="E104" s="56"/>
      <c r="F104" s="56"/>
      <c r="G104" s="56"/>
      <c r="H104" s="56"/>
      <c r="I104" s="56"/>
      <c r="J104" s="56"/>
      <c r="K104" s="56"/>
      <c r="L104" s="56"/>
      <c r="M104" s="56"/>
      <c r="N104" s="56"/>
      <c r="O104" s="56"/>
    </row>
    <row r="105" spans="4:15" s="28" customFormat="1" x14ac:dyDescent="0.25">
      <c r="D105" s="56"/>
      <c r="E105" s="56"/>
      <c r="F105" s="56"/>
      <c r="G105" s="56"/>
      <c r="H105" s="56"/>
      <c r="I105" s="56"/>
      <c r="J105" s="56"/>
      <c r="K105" s="56"/>
      <c r="L105" s="56"/>
      <c r="M105" s="56"/>
      <c r="N105" s="56"/>
      <c r="O105" s="56"/>
    </row>
    <row r="106" spans="4:15" s="28" customFormat="1" x14ac:dyDescent="0.25">
      <c r="D106" s="56"/>
      <c r="E106" s="56"/>
      <c r="F106" s="56"/>
      <c r="G106" s="56"/>
      <c r="H106" s="56"/>
      <c r="I106" s="56"/>
      <c r="J106" s="56"/>
      <c r="K106" s="56"/>
      <c r="L106" s="56"/>
      <c r="M106" s="56"/>
      <c r="N106" s="56"/>
      <c r="O106" s="56"/>
    </row>
    <row r="107" spans="4:15" s="28" customFormat="1" x14ac:dyDescent="0.25">
      <c r="D107" s="56"/>
      <c r="E107" s="56"/>
      <c r="F107" s="56"/>
      <c r="G107" s="56"/>
      <c r="H107" s="56"/>
      <c r="I107" s="56"/>
      <c r="J107" s="56"/>
      <c r="K107" s="56"/>
      <c r="L107" s="56"/>
      <c r="M107" s="56"/>
      <c r="N107" s="56"/>
      <c r="O107" s="56"/>
    </row>
    <row r="108" spans="4:15" s="28" customFormat="1" x14ac:dyDescent="0.25">
      <c r="D108" s="56"/>
      <c r="E108" s="56"/>
      <c r="F108" s="56"/>
      <c r="G108" s="56"/>
      <c r="H108" s="56"/>
      <c r="I108" s="56"/>
      <c r="J108" s="56"/>
      <c r="K108" s="56"/>
      <c r="L108" s="56"/>
      <c r="M108" s="56"/>
      <c r="N108" s="56"/>
      <c r="O108" s="56"/>
    </row>
    <row r="109" spans="4:15" s="28" customFormat="1" x14ac:dyDescent="0.25">
      <c r="D109" s="56"/>
      <c r="E109" s="56"/>
      <c r="F109" s="56"/>
      <c r="G109" s="56"/>
      <c r="H109" s="56"/>
      <c r="I109" s="56"/>
      <c r="J109" s="56"/>
      <c r="K109" s="56"/>
      <c r="L109" s="56"/>
      <c r="M109" s="56"/>
      <c r="N109" s="56"/>
      <c r="O109" s="56"/>
    </row>
  </sheetData>
  <sheetProtection algorithmName="SHA-512" hashValue="c2ux2e6bjbvACb9zWgOPYQk8TyxYtzpcwTYRfX/ZweRsX8pdgkHn7vh4Wzrwk15Dk2kRoOmcVvxKhM1AYPRwZw==" saltValue="7ofd9yZobELjkSlY7OK2oQ==" spinCount="100000" sheet="1" objects="1" scenarios="1"/>
  <mergeCells count="8">
    <mergeCell ref="H71:R71"/>
    <mergeCell ref="H72:R72"/>
    <mergeCell ref="B61:L61"/>
    <mergeCell ref="C5:I5"/>
    <mergeCell ref="D6:H6"/>
    <mergeCell ref="D8:O8"/>
    <mergeCell ref="D7:I7"/>
    <mergeCell ref="K7:M7"/>
  </mergeCells>
  <phoneticPr fontId="11" type="noConversion"/>
  <pageMargins left="0.7" right="0.7" top="0.75" bottom="0.75" header="0.3" footer="0.3"/>
  <pageSetup paperSize="9" scale="6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DA92-3E61-426B-8809-0B978CB68D23}">
  <dimension ref="A1:M107"/>
  <sheetViews>
    <sheetView zoomScale="95" zoomScaleNormal="95" workbookViewId="0">
      <selection activeCell="B44" sqref="B44"/>
    </sheetView>
  </sheetViews>
  <sheetFormatPr defaultColWidth="9.140625" defaultRowHeight="15" x14ac:dyDescent="0.25"/>
  <cols>
    <col min="1" max="1" width="53.28515625" style="220" customWidth="1"/>
    <col min="2" max="13" width="12.7109375" style="220" customWidth="1"/>
    <col min="14" max="16384" width="9.140625" style="220"/>
  </cols>
  <sheetData>
    <row r="1" spans="1:13" ht="33.75" x14ac:dyDescent="0.5">
      <c r="A1" s="218" t="s">
        <v>86</v>
      </c>
      <c r="B1" s="219"/>
      <c r="C1" s="219"/>
      <c r="D1" s="219"/>
      <c r="E1" s="219"/>
      <c r="F1" s="219"/>
      <c r="G1" s="219"/>
      <c r="H1" s="219"/>
      <c r="I1" s="219"/>
      <c r="J1" s="219"/>
      <c r="K1" s="219"/>
      <c r="L1" s="219"/>
      <c r="M1" s="219"/>
    </row>
    <row r="2" spans="1:13" ht="23.25" x14ac:dyDescent="0.35">
      <c r="A2" s="221" t="s">
        <v>89</v>
      </c>
      <c r="B2" s="222"/>
      <c r="C2" s="222"/>
      <c r="D2" s="222"/>
      <c r="E2" s="222"/>
      <c r="F2" s="222"/>
      <c r="G2" s="222"/>
      <c r="H2" s="222"/>
      <c r="I2" s="222"/>
      <c r="J2" s="222"/>
      <c r="K2" s="222"/>
      <c r="L2" s="222"/>
      <c r="M2" s="222"/>
    </row>
    <row r="3" spans="1:13" ht="78.75" customHeight="1" x14ac:dyDescent="0.25">
      <c r="A3" s="223" t="s">
        <v>90</v>
      </c>
      <c r="B3" s="224" t="s">
        <v>91</v>
      </c>
      <c r="C3" s="225" t="s">
        <v>92</v>
      </c>
      <c r="D3" s="225" t="s">
        <v>93</v>
      </c>
      <c r="E3" s="226" t="s">
        <v>94</v>
      </c>
      <c r="F3" s="227"/>
      <c r="G3" s="227"/>
      <c r="H3" s="227"/>
      <c r="I3" s="227"/>
      <c r="J3" s="227"/>
      <c r="K3" s="227"/>
      <c r="L3" s="227"/>
      <c r="M3" s="227"/>
    </row>
    <row r="4" spans="1:13" ht="15.75" x14ac:dyDescent="0.25">
      <c r="A4" s="228" t="s">
        <v>65</v>
      </c>
      <c r="B4" s="229" t="str">
        <f>'Covid Impact Assessment'!C9</f>
        <v>Jun</v>
      </c>
      <c r="C4" s="88">
        <v>29782</v>
      </c>
      <c r="D4" s="312">
        <v>0.75</v>
      </c>
      <c r="E4" s="313">
        <v>0.35</v>
      </c>
      <c r="F4" s="230"/>
      <c r="G4" s="230"/>
      <c r="H4" s="230"/>
      <c r="I4" s="230"/>
      <c r="J4" s="230"/>
      <c r="K4" s="230"/>
      <c r="L4" s="230"/>
      <c r="M4" s="230"/>
    </row>
    <row r="5" spans="1:13" x14ac:dyDescent="0.25">
      <c r="A5" s="231"/>
      <c r="B5" s="232" t="str">
        <f>'Covid Impact Assessment'!D9</f>
        <v>Jul</v>
      </c>
      <c r="C5" s="232" t="str">
        <f>'Covid Impact Assessment'!E9</f>
        <v>Aug</v>
      </c>
      <c r="D5" s="232" t="str">
        <f>'Covid Impact Assessment'!F9</f>
        <v>Sept</v>
      </c>
      <c r="E5" s="232" t="str">
        <f>'Covid Impact Assessment'!G9</f>
        <v>Oct</v>
      </c>
      <c r="F5" s="232" t="str">
        <f>'Covid Impact Assessment'!H9</f>
        <v>Nov</v>
      </c>
      <c r="G5" s="232" t="str">
        <f>'Covid Impact Assessment'!I9</f>
        <v>Dec</v>
      </c>
      <c r="H5" s="232" t="str">
        <f>'Covid Impact Assessment'!J9</f>
        <v>Jan</v>
      </c>
      <c r="I5" s="232" t="str">
        <f>'Covid Impact Assessment'!K9</f>
        <v>Feb</v>
      </c>
      <c r="J5" s="232" t="str">
        <f>'Covid Impact Assessment'!L9</f>
        <v>Mar</v>
      </c>
      <c r="K5" s="232" t="str">
        <f>'Covid Impact Assessment'!M9</f>
        <v>Apr</v>
      </c>
      <c r="L5" s="232" t="str">
        <f>'Covid Impact Assessment'!N9</f>
        <v>May</v>
      </c>
      <c r="M5" s="232" t="str">
        <f>'Covid Impact Assessment'!O9</f>
        <v>Jun</v>
      </c>
    </row>
    <row r="6" spans="1:13" ht="15.75" x14ac:dyDescent="0.25">
      <c r="A6" s="233" t="s">
        <v>95</v>
      </c>
      <c r="B6" s="314">
        <v>0.35</v>
      </c>
      <c r="C6" s="314">
        <v>0.35</v>
      </c>
      <c r="D6" s="314">
        <v>0.35</v>
      </c>
      <c r="E6" s="314">
        <v>0.35</v>
      </c>
      <c r="F6" s="314">
        <v>0.35</v>
      </c>
      <c r="G6" s="314">
        <v>0.35</v>
      </c>
      <c r="H6" s="314">
        <v>0.35</v>
      </c>
      <c r="I6" s="314">
        <v>0.35</v>
      </c>
      <c r="J6" s="314">
        <v>0.35</v>
      </c>
      <c r="K6" s="314">
        <v>0.35</v>
      </c>
      <c r="L6" s="314">
        <v>0.35</v>
      </c>
      <c r="M6" s="314">
        <v>0.35</v>
      </c>
    </row>
    <row r="7" spans="1:13" ht="15.75" x14ac:dyDescent="0.25">
      <c r="A7" s="234" t="s">
        <v>96</v>
      </c>
      <c r="B7" s="235"/>
      <c r="C7" s="235"/>
      <c r="D7" s="235"/>
      <c r="E7" s="235"/>
      <c r="F7" s="235"/>
      <c r="G7" s="235"/>
      <c r="H7" s="235"/>
      <c r="I7" s="235"/>
      <c r="J7" s="235"/>
      <c r="K7" s="235"/>
      <c r="L7" s="235"/>
      <c r="M7" s="235"/>
    </row>
    <row r="8" spans="1:13" x14ac:dyDescent="0.25">
      <c r="A8" s="236" t="s">
        <v>97</v>
      </c>
      <c r="B8" s="237">
        <f>D4</f>
        <v>0.75</v>
      </c>
      <c r="C8" s="238"/>
      <c r="D8" s="237"/>
      <c r="E8" s="237"/>
      <c r="F8" s="237"/>
      <c r="G8" s="237"/>
      <c r="H8" s="237"/>
      <c r="I8" s="237"/>
      <c r="J8" s="237"/>
      <c r="K8" s="237"/>
      <c r="L8" s="237"/>
      <c r="M8" s="237"/>
    </row>
    <row r="9" spans="1:13" x14ac:dyDescent="0.25">
      <c r="A9" s="236" t="s">
        <v>98</v>
      </c>
      <c r="B9" s="91">
        <v>120</v>
      </c>
      <c r="C9" s="239"/>
      <c r="D9" s="239"/>
      <c r="E9" s="239"/>
      <c r="F9" s="239"/>
      <c r="G9" s="239"/>
      <c r="H9" s="239"/>
      <c r="I9" s="239"/>
      <c r="J9" s="239"/>
      <c r="K9" s="239"/>
      <c r="L9" s="239"/>
      <c r="M9" s="239"/>
    </row>
    <row r="10" spans="1:13" x14ac:dyDescent="0.25">
      <c r="A10" s="240" t="s">
        <v>99</v>
      </c>
      <c r="B10" s="315">
        <v>0</v>
      </c>
      <c r="C10" s="315">
        <v>0</v>
      </c>
      <c r="D10" s="315">
        <v>0</v>
      </c>
      <c r="E10" s="315">
        <v>0</v>
      </c>
      <c r="F10" s="315">
        <v>0</v>
      </c>
      <c r="G10" s="315">
        <v>0</v>
      </c>
      <c r="H10" s="315">
        <v>0</v>
      </c>
      <c r="I10" s="315">
        <v>0</v>
      </c>
      <c r="J10" s="315">
        <v>0</v>
      </c>
      <c r="K10" s="315">
        <v>0</v>
      </c>
      <c r="L10" s="315">
        <v>0</v>
      </c>
      <c r="M10" s="315">
        <v>0</v>
      </c>
    </row>
    <row r="11" spans="1:13" x14ac:dyDescent="0.25">
      <c r="A11" s="241" t="s">
        <v>100</v>
      </c>
      <c r="B11" s="242">
        <f>1*(1+B10)</f>
        <v>1</v>
      </c>
      <c r="C11" s="242">
        <f t="shared" ref="C11:M11" si="0">B11*(1+C10)</f>
        <v>1</v>
      </c>
      <c r="D11" s="242">
        <f t="shared" si="0"/>
        <v>1</v>
      </c>
      <c r="E11" s="242">
        <f t="shared" si="0"/>
        <v>1</v>
      </c>
      <c r="F11" s="242">
        <f t="shared" si="0"/>
        <v>1</v>
      </c>
      <c r="G11" s="242">
        <f t="shared" si="0"/>
        <v>1</v>
      </c>
      <c r="H11" s="242">
        <f t="shared" si="0"/>
        <v>1</v>
      </c>
      <c r="I11" s="242">
        <f t="shared" si="0"/>
        <v>1</v>
      </c>
      <c r="J11" s="242">
        <f t="shared" si="0"/>
        <v>1</v>
      </c>
      <c r="K11" s="242">
        <f t="shared" si="0"/>
        <v>1</v>
      </c>
      <c r="L11" s="242">
        <f t="shared" si="0"/>
        <v>1</v>
      </c>
      <c r="M11" s="242">
        <f t="shared" si="0"/>
        <v>1</v>
      </c>
    </row>
    <row r="12" spans="1:13" x14ac:dyDescent="0.25">
      <c r="A12" s="241" t="s">
        <v>101</v>
      </c>
      <c r="B12" s="242">
        <f>(B11+1)/2</f>
        <v>1</v>
      </c>
      <c r="C12" s="242">
        <f t="shared" ref="C12:M12" si="1">(+B11+C11)/2</f>
        <v>1</v>
      </c>
      <c r="D12" s="242">
        <f t="shared" si="1"/>
        <v>1</v>
      </c>
      <c r="E12" s="242">
        <f t="shared" si="1"/>
        <v>1</v>
      </c>
      <c r="F12" s="242">
        <f t="shared" si="1"/>
        <v>1</v>
      </c>
      <c r="G12" s="242">
        <f t="shared" si="1"/>
        <v>1</v>
      </c>
      <c r="H12" s="242">
        <f t="shared" si="1"/>
        <v>1</v>
      </c>
      <c r="I12" s="242">
        <f t="shared" si="1"/>
        <v>1</v>
      </c>
      <c r="J12" s="242">
        <f t="shared" si="1"/>
        <v>1</v>
      </c>
      <c r="K12" s="242">
        <f t="shared" si="1"/>
        <v>1</v>
      </c>
      <c r="L12" s="242">
        <f t="shared" si="1"/>
        <v>1</v>
      </c>
      <c r="M12" s="242">
        <f t="shared" si="1"/>
        <v>1</v>
      </c>
    </row>
    <row r="13" spans="1:13" x14ac:dyDescent="0.25">
      <c r="A13" s="241" t="s">
        <v>102</v>
      </c>
      <c r="B13" s="243">
        <f>$B$8*B12</f>
        <v>0.75</v>
      </c>
      <c r="C13" s="243">
        <f t="shared" ref="C13:M13" si="2">$B$8*C12</f>
        <v>0.75</v>
      </c>
      <c r="D13" s="243">
        <f t="shared" si="2"/>
        <v>0.75</v>
      </c>
      <c r="E13" s="243">
        <f t="shared" si="2"/>
        <v>0.75</v>
      </c>
      <c r="F13" s="243">
        <f t="shared" si="2"/>
        <v>0.75</v>
      </c>
      <c r="G13" s="243">
        <f t="shared" si="2"/>
        <v>0.75</v>
      </c>
      <c r="H13" s="243">
        <f t="shared" si="2"/>
        <v>0.75</v>
      </c>
      <c r="I13" s="243">
        <f t="shared" si="2"/>
        <v>0.75</v>
      </c>
      <c r="J13" s="243">
        <f t="shared" si="2"/>
        <v>0.75</v>
      </c>
      <c r="K13" s="243">
        <f t="shared" si="2"/>
        <v>0.75</v>
      </c>
      <c r="L13" s="243">
        <f t="shared" si="2"/>
        <v>0.75</v>
      </c>
      <c r="M13" s="243">
        <f t="shared" si="2"/>
        <v>0.75</v>
      </c>
    </row>
    <row r="14" spans="1:13" x14ac:dyDescent="0.25">
      <c r="A14" s="244" t="s">
        <v>103</v>
      </c>
      <c r="B14" s="91">
        <v>300</v>
      </c>
      <c r="C14" s="91">
        <v>500</v>
      </c>
      <c r="D14" s="91">
        <v>500</v>
      </c>
      <c r="E14" s="91">
        <v>300</v>
      </c>
      <c r="F14" s="91">
        <v>300</v>
      </c>
      <c r="G14" s="91">
        <v>300</v>
      </c>
      <c r="H14" s="91">
        <v>300</v>
      </c>
      <c r="I14" s="91">
        <v>0</v>
      </c>
      <c r="J14" s="91">
        <v>0</v>
      </c>
      <c r="K14" s="91">
        <v>0</v>
      </c>
      <c r="L14" s="91">
        <v>0</v>
      </c>
      <c r="M14" s="91">
        <v>0</v>
      </c>
    </row>
    <row r="15" spans="1:13" x14ac:dyDescent="0.25">
      <c r="A15" s="245" t="s">
        <v>104</v>
      </c>
      <c r="B15" s="246">
        <f>C4+B14</f>
        <v>30082</v>
      </c>
      <c r="C15" s="246">
        <f>+B15+C14</f>
        <v>30582</v>
      </c>
      <c r="D15" s="246">
        <f t="shared" ref="D15:M15" si="3">+C15+D14</f>
        <v>31082</v>
      </c>
      <c r="E15" s="246">
        <f t="shared" si="3"/>
        <v>31382</v>
      </c>
      <c r="F15" s="246">
        <f t="shared" si="3"/>
        <v>31682</v>
      </c>
      <c r="G15" s="246">
        <f t="shared" si="3"/>
        <v>31982</v>
      </c>
      <c r="H15" s="246">
        <f t="shared" si="3"/>
        <v>32282</v>
      </c>
      <c r="I15" s="246">
        <f t="shared" si="3"/>
        <v>32282</v>
      </c>
      <c r="J15" s="246">
        <f t="shared" si="3"/>
        <v>32282</v>
      </c>
      <c r="K15" s="246">
        <f t="shared" si="3"/>
        <v>32282</v>
      </c>
      <c r="L15" s="246">
        <f t="shared" si="3"/>
        <v>32282</v>
      </c>
      <c r="M15" s="246">
        <f t="shared" si="3"/>
        <v>32282</v>
      </c>
    </row>
    <row r="16" spans="1:13" x14ac:dyDescent="0.25">
      <c r="A16" s="245" t="s">
        <v>105</v>
      </c>
      <c r="B16" s="246">
        <f>+C4+(B14/2)</f>
        <v>29932</v>
      </c>
      <c r="C16" s="246">
        <f>+B15+ (C14/2)</f>
        <v>30332</v>
      </c>
      <c r="D16" s="246">
        <f t="shared" ref="D16:M16" si="4">+C15+ (D14/2)</f>
        <v>30832</v>
      </c>
      <c r="E16" s="246">
        <f t="shared" si="4"/>
        <v>31232</v>
      </c>
      <c r="F16" s="246">
        <f t="shared" si="4"/>
        <v>31532</v>
      </c>
      <c r="G16" s="246">
        <f t="shared" si="4"/>
        <v>31832</v>
      </c>
      <c r="H16" s="246">
        <f t="shared" si="4"/>
        <v>32132</v>
      </c>
      <c r="I16" s="246">
        <f t="shared" si="4"/>
        <v>32282</v>
      </c>
      <c r="J16" s="246">
        <f t="shared" si="4"/>
        <v>32282</v>
      </c>
      <c r="K16" s="246">
        <f t="shared" si="4"/>
        <v>32282</v>
      </c>
      <c r="L16" s="246">
        <f t="shared" si="4"/>
        <v>32282</v>
      </c>
      <c r="M16" s="246">
        <f t="shared" si="4"/>
        <v>32282</v>
      </c>
    </row>
    <row r="17" spans="1:13" x14ac:dyDescent="0.25">
      <c r="A17" s="245" t="s">
        <v>106</v>
      </c>
      <c r="B17" s="247">
        <f>(+B15/C4)-1</f>
        <v>1.0073198576321163E-2</v>
      </c>
      <c r="C17" s="247">
        <f>1-(B15/C16)</f>
        <v>8.2421205327706248E-3</v>
      </c>
      <c r="D17" s="247">
        <f t="shared" ref="D17:M17" si="5">1-(C15/D16)</f>
        <v>8.1084587441618838E-3</v>
      </c>
      <c r="E17" s="247">
        <f t="shared" si="5"/>
        <v>4.8027663934425702E-3</v>
      </c>
      <c r="F17" s="247">
        <f t="shared" si="5"/>
        <v>4.7570721806419192E-3</v>
      </c>
      <c r="G17" s="247">
        <f t="shared" si="5"/>
        <v>4.7122392560945414E-3</v>
      </c>
      <c r="H17" s="247">
        <f t="shared" si="5"/>
        <v>4.668243495580704E-3</v>
      </c>
      <c r="I17" s="247">
        <f t="shared" si="5"/>
        <v>0</v>
      </c>
      <c r="J17" s="247">
        <f t="shared" si="5"/>
        <v>0</v>
      </c>
      <c r="K17" s="247">
        <f t="shared" si="5"/>
        <v>0</v>
      </c>
      <c r="L17" s="247">
        <f t="shared" si="5"/>
        <v>0</v>
      </c>
      <c r="M17" s="247">
        <f t="shared" si="5"/>
        <v>0</v>
      </c>
    </row>
    <row r="18" spans="1:13" x14ac:dyDescent="0.25">
      <c r="A18" s="248" t="s">
        <v>107</v>
      </c>
      <c r="B18" s="89">
        <v>1.1000000000000001</v>
      </c>
      <c r="C18" s="89">
        <v>1.1000000000000001</v>
      </c>
      <c r="D18" s="89">
        <v>1.2</v>
      </c>
      <c r="E18" s="89">
        <v>1.2</v>
      </c>
      <c r="F18" s="89">
        <v>1.2</v>
      </c>
      <c r="G18" s="89">
        <v>1.2</v>
      </c>
      <c r="H18" s="89">
        <v>1.2</v>
      </c>
      <c r="I18" s="89">
        <v>1.1000000000000001</v>
      </c>
      <c r="J18" s="89">
        <v>1.1000000000000001</v>
      </c>
      <c r="K18" s="89">
        <v>1.1000000000000001</v>
      </c>
      <c r="L18" s="89">
        <v>1.1000000000000001</v>
      </c>
      <c r="M18" s="89">
        <v>1.1000000000000001</v>
      </c>
    </row>
    <row r="19" spans="1:13" ht="77.25" customHeight="1" x14ac:dyDescent="0.25">
      <c r="A19" s="223" t="s">
        <v>108</v>
      </c>
      <c r="B19" s="249" t="s">
        <v>91</v>
      </c>
      <c r="C19" s="225" t="s">
        <v>109</v>
      </c>
      <c r="D19" s="225" t="s">
        <v>93</v>
      </c>
      <c r="E19" s="250"/>
      <c r="F19" s="227"/>
      <c r="G19" s="227"/>
      <c r="H19" s="227"/>
      <c r="I19" s="227"/>
      <c r="J19" s="227"/>
      <c r="K19" s="227"/>
      <c r="L19" s="227"/>
      <c r="M19" s="227"/>
    </row>
    <row r="20" spans="1:13" x14ac:dyDescent="0.25">
      <c r="A20" s="251"/>
      <c r="B20" s="229" t="str">
        <f>B4</f>
        <v>Jun</v>
      </c>
      <c r="C20" s="88">
        <v>19850</v>
      </c>
      <c r="D20" s="312">
        <v>0.6</v>
      </c>
      <c r="E20" s="247"/>
      <c r="F20" s="230"/>
      <c r="G20" s="230"/>
      <c r="H20" s="230"/>
      <c r="I20" s="230"/>
      <c r="J20" s="230"/>
      <c r="K20" s="230"/>
      <c r="L20" s="230"/>
      <c r="M20" s="230"/>
    </row>
    <row r="21" spans="1:13" x14ac:dyDescent="0.25">
      <c r="A21" s="231"/>
      <c r="B21" s="232" t="str">
        <f>B5</f>
        <v>Jul</v>
      </c>
      <c r="C21" s="232" t="str">
        <f t="shared" ref="C21:M21" si="6">C5</f>
        <v>Aug</v>
      </c>
      <c r="D21" s="232" t="str">
        <f t="shared" si="6"/>
        <v>Sept</v>
      </c>
      <c r="E21" s="232" t="str">
        <f t="shared" si="6"/>
        <v>Oct</v>
      </c>
      <c r="F21" s="232" t="str">
        <f t="shared" si="6"/>
        <v>Nov</v>
      </c>
      <c r="G21" s="232" t="str">
        <f t="shared" si="6"/>
        <v>Dec</v>
      </c>
      <c r="H21" s="232" t="str">
        <f t="shared" si="6"/>
        <v>Jan</v>
      </c>
      <c r="I21" s="232" t="str">
        <f t="shared" si="6"/>
        <v>Feb</v>
      </c>
      <c r="J21" s="232" t="str">
        <f t="shared" si="6"/>
        <v>Mar</v>
      </c>
      <c r="K21" s="232" t="str">
        <f t="shared" si="6"/>
        <v>Apr</v>
      </c>
      <c r="L21" s="232" t="str">
        <f t="shared" si="6"/>
        <v>May</v>
      </c>
      <c r="M21" s="232" t="str">
        <f t="shared" si="6"/>
        <v>Jun</v>
      </c>
    </row>
    <row r="22" spans="1:13" ht="15.75" x14ac:dyDescent="0.25">
      <c r="A22" s="252" t="s">
        <v>110</v>
      </c>
      <c r="B22" s="253"/>
      <c r="C22" s="253"/>
      <c r="D22" s="253"/>
      <c r="E22" s="253"/>
      <c r="F22" s="253"/>
      <c r="G22" s="253"/>
      <c r="H22" s="253"/>
      <c r="I22" s="253"/>
      <c r="J22" s="253"/>
      <c r="K22" s="253"/>
      <c r="L22" s="253"/>
      <c r="M22" s="253"/>
    </row>
    <row r="23" spans="1:13" x14ac:dyDescent="0.25">
      <c r="A23" s="236" t="s">
        <v>97</v>
      </c>
      <c r="B23" s="237">
        <f>+D20</f>
        <v>0.6</v>
      </c>
      <c r="C23" s="238"/>
      <c r="D23" s="238"/>
      <c r="E23" s="238"/>
      <c r="F23" s="238"/>
      <c r="G23" s="238"/>
      <c r="H23" s="238"/>
      <c r="I23" s="238"/>
      <c r="J23" s="238"/>
      <c r="K23" s="238"/>
      <c r="L23" s="238"/>
      <c r="M23" s="238"/>
    </row>
    <row r="24" spans="1:13" x14ac:dyDescent="0.25">
      <c r="A24" s="236" t="s">
        <v>98</v>
      </c>
      <c r="B24" s="91">
        <v>1000</v>
      </c>
      <c r="C24" s="239"/>
      <c r="D24" s="239"/>
      <c r="E24" s="239"/>
      <c r="F24" s="239"/>
      <c r="G24" s="239"/>
      <c r="H24" s="239"/>
      <c r="I24" s="239"/>
      <c r="J24" s="239"/>
      <c r="K24" s="239"/>
      <c r="L24" s="239"/>
      <c r="M24" s="239"/>
    </row>
    <row r="25" spans="1:13" x14ac:dyDescent="0.25">
      <c r="A25" s="240" t="s">
        <v>99</v>
      </c>
      <c r="B25" s="315">
        <v>0</v>
      </c>
      <c r="C25" s="315">
        <v>0</v>
      </c>
      <c r="D25" s="315">
        <v>0</v>
      </c>
      <c r="E25" s="315">
        <v>0</v>
      </c>
      <c r="F25" s="315">
        <v>0</v>
      </c>
      <c r="G25" s="315">
        <v>0</v>
      </c>
      <c r="H25" s="315">
        <v>-0.05</v>
      </c>
      <c r="I25" s="315">
        <v>0</v>
      </c>
      <c r="J25" s="315">
        <v>0</v>
      </c>
      <c r="K25" s="315">
        <v>0</v>
      </c>
      <c r="L25" s="315">
        <v>0</v>
      </c>
      <c r="M25" s="315">
        <v>0</v>
      </c>
    </row>
    <row r="26" spans="1:13" x14ac:dyDescent="0.25">
      <c r="A26" s="241" t="s">
        <v>100</v>
      </c>
      <c r="B26" s="242">
        <f>1*(1+B25)</f>
        <v>1</v>
      </c>
      <c r="C26" s="242">
        <f t="shared" ref="C26:M26" si="7">B26*(1+C25)</f>
        <v>1</v>
      </c>
      <c r="D26" s="242">
        <f t="shared" si="7"/>
        <v>1</v>
      </c>
      <c r="E26" s="242">
        <f t="shared" si="7"/>
        <v>1</v>
      </c>
      <c r="F26" s="242">
        <f t="shared" si="7"/>
        <v>1</v>
      </c>
      <c r="G26" s="242">
        <f t="shared" si="7"/>
        <v>1</v>
      </c>
      <c r="H26" s="242">
        <f t="shared" si="7"/>
        <v>0.95</v>
      </c>
      <c r="I26" s="242">
        <f t="shared" si="7"/>
        <v>0.95</v>
      </c>
      <c r="J26" s="242">
        <f t="shared" si="7"/>
        <v>0.95</v>
      </c>
      <c r="K26" s="242">
        <f t="shared" si="7"/>
        <v>0.95</v>
      </c>
      <c r="L26" s="242">
        <f t="shared" si="7"/>
        <v>0.95</v>
      </c>
      <c r="M26" s="242">
        <f t="shared" si="7"/>
        <v>0.95</v>
      </c>
    </row>
    <row r="27" spans="1:13" x14ac:dyDescent="0.25">
      <c r="A27" s="241" t="s">
        <v>101</v>
      </c>
      <c r="B27" s="242">
        <f>(B26+1)/2</f>
        <v>1</v>
      </c>
      <c r="C27" s="242">
        <f t="shared" ref="C27:M27" si="8">(+B26+C26)/2</f>
        <v>1</v>
      </c>
      <c r="D27" s="242">
        <f t="shared" si="8"/>
        <v>1</v>
      </c>
      <c r="E27" s="242">
        <f t="shared" si="8"/>
        <v>1</v>
      </c>
      <c r="F27" s="242">
        <f t="shared" si="8"/>
        <v>1</v>
      </c>
      <c r="G27" s="242">
        <f t="shared" si="8"/>
        <v>1</v>
      </c>
      <c r="H27" s="242">
        <f t="shared" si="8"/>
        <v>0.97499999999999998</v>
      </c>
      <c r="I27" s="242">
        <f t="shared" si="8"/>
        <v>0.95</v>
      </c>
      <c r="J27" s="242">
        <f t="shared" si="8"/>
        <v>0.95</v>
      </c>
      <c r="K27" s="242">
        <f t="shared" si="8"/>
        <v>0.95</v>
      </c>
      <c r="L27" s="242">
        <f t="shared" si="8"/>
        <v>0.95</v>
      </c>
      <c r="M27" s="242">
        <f t="shared" si="8"/>
        <v>0.95</v>
      </c>
    </row>
    <row r="28" spans="1:13" x14ac:dyDescent="0.25">
      <c r="A28" s="241" t="s">
        <v>102</v>
      </c>
      <c r="B28" s="243">
        <f>$B$23*B27</f>
        <v>0.6</v>
      </c>
      <c r="C28" s="243">
        <f t="shared" ref="C28:M28" si="9">$B$23*C27</f>
        <v>0.6</v>
      </c>
      <c r="D28" s="243">
        <f t="shared" si="9"/>
        <v>0.6</v>
      </c>
      <c r="E28" s="243">
        <f t="shared" si="9"/>
        <v>0.6</v>
      </c>
      <c r="F28" s="243">
        <f t="shared" si="9"/>
        <v>0.6</v>
      </c>
      <c r="G28" s="243">
        <f t="shared" si="9"/>
        <v>0.6</v>
      </c>
      <c r="H28" s="243">
        <f t="shared" si="9"/>
        <v>0.58499999999999996</v>
      </c>
      <c r="I28" s="243">
        <f t="shared" si="9"/>
        <v>0.56999999999999995</v>
      </c>
      <c r="J28" s="243">
        <f t="shared" si="9"/>
        <v>0.56999999999999995</v>
      </c>
      <c r="K28" s="243">
        <f t="shared" si="9"/>
        <v>0.56999999999999995</v>
      </c>
      <c r="L28" s="243">
        <f t="shared" si="9"/>
        <v>0.56999999999999995</v>
      </c>
      <c r="M28" s="243">
        <f t="shared" si="9"/>
        <v>0.56999999999999995</v>
      </c>
    </row>
    <row r="29" spans="1:13" x14ac:dyDescent="0.25">
      <c r="A29" s="244" t="s">
        <v>103</v>
      </c>
      <c r="B29" s="91"/>
      <c r="C29" s="91"/>
      <c r="D29" s="91"/>
      <c r="E29" s="91"/>
      <c r="F29" s="91"/>
      <c r="G29" s="91">
        <v>0</v>
      </c>
      <c r="H29" s="91">
        <v>0</v>
      </c>
      <c r="I29" s="91">
        <v>0</v>
      </c>
      <c r="J29" s="91">
        <v>0</v>
      </c>
      <c r="K29" s="91">
        <v>0</v>
      </c>
      <c r="L29" s="91">
        <v>0</v>
      </c>
      <c r="M29" s="91">
        <v>0</v>
      </c>
    </row>
    <row r="30" spans="1:13" x14ac:dyDescent="0.25">
      <c r="A30" s="245" t="s">
        <v>104</v>
      </c>
      <c r="B30" s="246">
        <f>C20+B29</f>
        <v>19850</v>
      </c>
      <c r="C30" s="246">
        <f t="shared" ref="C30:M30" si="10">+B30+C29</f>
        <v>19850</v>
      </c>
      <c r="D30" s="246">
        <f t="shared" si="10"/>
        <v>19850</v>
      </c>
      <c r="E30" s="246">
        <f t="shared" si="10"/>
        <v>19850</v>
      </c>
      <c r="F30" s="246">
        <f t="shared" si="10"/>
        <v>19850</v>
      </c>
      <c r="G30" s="246">
        <f t="shared" si="10"/>
        <v>19850</v>
      </c>
      <c r="H30" s="246">
        <f t="shared" si="10"/>
        <v>19850</v>
      </c>
      <c r="I30" s="246">
        <f t="shared" si="10"/>
        <v>19850</v>
      </c>
      <c r="J30" s="246">
        <f t="shared" si="10"/>
        <v>19850</v>
      </c>
      <c r="K30" s="246">
        <f t="shared" si="10"/>
        <v>19850</v>
      </c>
      <c r="L30" s="246">
        <f t="shared" si="10"/>
        <v>19850</v>
      </c>
      <c r="M30" s="246">
        <f t="shared" si="10"/>
        <v>19850</v>
      </c>
    </row>
    <row r="31" spans="1:13" x14ac:dyDescent="0.25">
      <c r="A31" s="245" t="s">
        <v>105</v>
      </c>
      <c r="B31" s="246">
        <f>+C20+(B29/2)</f>
        <v>19850</v>
      </c>
      <c r="C31" s="246">
        <f t="shared" ref="C31:M31" si="11">+B30+ (C29/2)</f>
        <v>19850</v>
      </c>
      <c r="D31" s="246">
        <f t="shared" si="11"/>
        <v>19850</v>
      </c>
      <c r="E31" s="246">
        <f t="shared" si="11"/>
        <v>19850</v>
      </c>
      <c r="F31" s="246">
        <f t="shared" si="11"/>
        <v>19850</v>
      </c>
      <c r="G31" s="246">
        <f t="shared" si="11"/>
        <v>19850</v>
      </c>
      <c r="H31" s="246">
        <f t="shared" si="11"/>
        <v>19850</v>
      </c>
      <c r="I31" s="246">
        <f t="shared" si="11"/>
        <v>19850</v>
      </c>
      <c r="J31" s="246">
        <f t="shared" si="11"/>
        <v>19850</v>
      </c>
      <c r="K31" s="246">
        <f t="shared" si="11"/>
        <v>19850</v>
      </c>
      <c r="L31" s="246">
        <f t="shared" si="11"/>
        <v>19850</v>
      </c>
      <c r="M31" s="246">
        <f t="shared" si="11"/>
        <v>19850</v>
      </c>
    </row>
    <row r="32" spans="1:13" x14ac:dyDescent="0.25">
      <c r="A32" s="245" t="s">
        <v>106</v>
      </c>
      <c r="B32" s="247">
        <f>IF(B31=0,0,1-(C20/B31))</f>
        <v>0</v>
      </c>
      <c r="C32" s="247">
        <f>IF(C31=0,0,1-(B30/C31))</f>
        <v>0</v>
      </c>
      <c r="D32" s="247">
        <f t="shared" ref="D32:M32" si="12">IF(D31=0,0,1-(C30/D31))</f>
        <v>0</v>
      </c>
      <c r="E32" s="247">
        <f t="shared" si="12"/>
        <v>0</v>
      </c>
      <c r="F32" s="247">
        <f t="shared" si="12"/>
        <v>0</v>
      </c>
      <c r="G32" s="247">
        <f t="shared" si="12"/>
        <v>0</v>
      </c>
      <c r="H32" s="247">
        <f t="shared" si="12"/>
        <v>0</v>
      </c>
      <c r="I32" s="247">
        <f t="shared" si="12"/>
        <v>0</v>
      </c>
      <c r="J32" s="247">
        <f t="shared" si="12"/>
        <v>0</v>
      </c>
      <c r="K32" s="247">
        <f t="shared" si="12"/>
        <v>0</v>
      </c>
      <c r="L32" s="247">
        <f t="shared" si="12"/>
        <v>0</v>
      </c>
      <c r="M32" s="247">
        <f t="shared" si="12"/>
        <v>0</v>
      </c>
    </row>
    <row r="33" spans="1:13" x14ac:dyDescent="0.25">
      <c r="A33" s="248" t="s">
        <v>107</v>
      </c>
      <c r="B33" s="89">
        <v>1.5</v>
      </c>
      <c r="C33" s="89">
        <v>1</v>
      </c>
      <c r="D33" s="89">
        <v>1</v>
      </c>
      <c r="E33" s="89">
        <v>1</v>
      </c>
      <c r="F33" s="89">
        <v>1</v>
      </c>
      <c r="G33" s="89">
        <v>1</v>
      </c>
      <c r="H33" s="89">
        <v>1</v>
      </c>
      <c r="I33" s="89">
        <v>1.2</v>
      </c>
      <c r="J33" s="89">
        <v>3</v>
      </c>
      <c r="K33" s="89">
        <v>3</v>
      </c>
      <c r="L33" s="89">
        <v>3</v>
      </c>
      <c r="M33" s="89">
        <v>3</v>
      </c>
    </row>
    <row r="34" spans="1:13" x14ac:dyDescent="0.25">
      <c r="A34" s="254" t="s">
        <v>111</v>
      </c>
      <c r="B34" s="91">
        <v>4500000</v>
      </c>
      <c r="C34" s="91">
        <v>4500000</v>
      </c>
      <c r="D34" s="91">
        <v>4500000</v>
      </c>
      <c r="E34" s="91">
        <v>4500000</v>
      </c>
      <c r="F34" s="91">
        <v>4500000</v>
      </c>
      <c r="G34" s="91">
        <v>4500000</v>
      </c>
      <c r="H34" s="91">
        <v>4500000</v>
      </c>
      <c r="I34" s="91">
        <v>4500000</v>
      </c>
      <c r="J34" s="91">
        <v>4500000</v>
      </c>
      <c r="K34" s="91">
        <v>4500000</v>
      </c>
      <c r="L34" s="91">
        <v>4500000</v>
      </c>
      <c r="M34" s="91">
        <v>4500000</v>
      </c>
    </row>
    <row r="35" spans="1:13" x14ac:dyDescent="0.25">
      <c r="A35" s="255" t="s">
        <v>112</v>
      </c>
      <c r="B35" s="256">
        <f>B36*30</f>
        <v>1881006.0000000002</v>
      </c>
      <c r="C35" s="256">
        <f t="shared" ref="C35:M35" si="13">C36*30</f>
        <v>1596456.0000000002</v>
      </c>
      <c r="D35" s="256">
        <f t="shared" si="13"/>
        <v>1705452</v>
      </c>
      <c r="E35" s="256">
        <f t="shared" si="13"/>
        <v>1719852</v>
      </c>
      <c r="F35" s="256">
        <f t="shared" si="13"/>
        <v>1730652</v>
      </c>
      <c r="G35" s="256">
        <f t="shared" si="13"/>
        <v>1741452</v>
      </c>
      <c r="H35" s="256">
        <f t="shared" si="13"/>
        <v>1752252</v>
      </c>
      <c r="I35" s="256">
        <f t="shared" si="13"/>
        <v>1779906.0000000002</v>
      </c>
      <c r="J35" s="256">
        <f t="shared" si="13"/>
        <v>2851806.0000000005</v>
      </c>
      <c r="K35" s="256">
        <f t="shared" si="13"/>
        <v>2851806.0000000005</v>
      </c>
      <c r="L35" s="256">
        <f t="shared" si="13"/>
        <v>2851806.0000000005</v>
      </c>
      <c r="M35" s="256">
        <f t="shared" si="13"/>
        <v>2851806.0000000005</v>
      </c>
    </row>
    <row r="36" spans="1:13" x14ac:dyDescent="0.25">
      <c r="A36" s="257" t="s">
        <v>113</v>
      </c>
      <c r="B36" s="256">
        <f t="shared" ref="B36:M36" si="14">(+B18*B16)+(B31*B33)</f>
        <v>62700.200000000004</v>
      </c>
      <c r="C36" s="256">
        <f t="shared" si="14"/>
        <v>53215.200000000004</v>
      </c>
      <c r="D36" s="256">
        <f t="shared" si="14"/>
        <v>56848.4</v>
      </c>
      <c r="E36" s="256">
        <f t="shared" si="14"/>
        <v>57328.4</v>
      </c>
      <c r="F36" s="256">
        <f t="shared" si="14"/>
        <v>57688.4</v>
      </c>
      <c r="G36" s="256">
        <f t="shared" si="14"/>
        <v>58048.4</v>
      </c>
      <c r="H36" s="256">
        <f t="shared" si="14"/>
        <v>58408.4</v>
      </c>
      <c r="I36" s="256">
        <f t="shared" si="14"/>
        <v>59330.200000000004</v>
      </c>
      <c r="J36" s="256">
        <f t="shared" si="14"/>
        <v>95060.200000000012</v>
      </c>
      <c r="K36" s="256">
        <f t="shared" si="14"/>
        <v>95060.200000000012</v>
      </c>
      <c r="L36" s="256">
        <f t="shared" si="14"/>
        <v>95060.200000000012</v>
      </c>
      <c r="M36" s="256">
        <f t="shared" si="14"/>
        <v>95060.200000000012</v>
      </c>
    </row>
    <row r="37" spans="1:13" x14ac:dyDescent="0.25">
      <c r="A37" s="257" t="s">
        <v>191</v>
      </c>
      <c r="B37" s="256">
        <f>(B28*B31*B33)+(B13*B16*B18)</f>
        <v>42558.9</v>
      </c>
      <c r="C37" s="256">
        <f t="shared" ref="C37:M37" si="15">(C28*C31*C33)+(C13*C16*C18)</f>
        <v>36933.9</v>
      </c>
      <c r="D37" s="256">
        <f t="shared" si="15"/>
        <v>39658.800000000003</v>
      </c>
      <c r="E37" s="256">
        <f t="shared" si="15"/>
        <v>40018.800000000003</v>
      </c>
      <c r="F37" s="256">
        <f t="shared" si="15"/>
        <v>40288.800000000003</v>
      </c>
      <c r="G37" s="256">
        <f t="shared" si="15"/>
        <v>40558.800000000003</v>
      </c>
      <c r="H37" s="256">
        <f t="shared" si="15"/>
        <v>40531.050000000003</v>
      </c>
      <c r="I37" s="256">
        <f t="shared" si="15"/>
        <v>40210.050000000003</v>
      </c>
      <c r="J37" s="256">
        <f t="shared" si="15"/>
        <v>60576.149999999994</v>
      </c>
      <c r="K37" s="256">
        <f t="shared" si="15"/>
        <v>60576.149999999994</v>
      </c>
      <c r="L37" s="256">
        <f t="shared" si="15"/>
        <v>60576.149999999994</v>
      </c>
      <c r="M37" s="256">
        <f t="shared" si="15"/>
        <v>60576.149999999994</v>
      </c>
    </row>
    <row r="38" spans="1:13" x14ac:dyDescent="0.25">
      <c r="A38" s="258" t="s">
        <v>114</v>
      </c>
      <c r="B38" s="256">
        <f t="shared" ref="B38:M38" si="16">B35/(1-B6)</f>
        <v>2893855.384615385</v>
      </c>
      <c r="C38" s="256">
        <f t="shared" si="16"/>
        <v>2456086.153846154</v>
      </c>
      <c r="D38" s="256">
        <f t="shared" si="16"/>
        <v>2623772.3076923075</v>
      </c>
      <c r="E38" s="256">
        <f t="shared" si="16"/>
        <v>2645926.1538461535</v>
      </c>
      <c r="F38" s="256">
        <f t="shared" si="16"/>
        <v>2662541.5384615385</v>
      </c>
      <c r="G38" s="256">
        <f t="shared" si="16"/>
        <v>2679156.923076923</v>
      </c>
      <c r="H38" s="256">
        <f t="shared" si="16"/>
        <v>2695772.3076923075</v>
      </c>
      <c r="I38" s="256">
        <f t="shared" si="16"/>
        <v>2738316.9230769235</v>
      </c>
      <c r="J38" s="256">
        <f t="shared" si="16"/>
        <v>4387393.8461538469</v>
      </c>
      <c r="K38" s="256">
        <f t="shared" si="16"/>
        <v>4387393.8461538469</v>
      </c>
      <c r="L38" s="256">
        <f t="shared" si="16"/>
        <v>4387393.8461538469</v>
      </c>
      <c r="M38" s="256">
        <f t="shared" si="16"/>
        <v>4387393.8461538469</v>
      </c>
    </row>
    <row r="39" spans="1:13" x14ac:dyDescent="0.25">
      <c r="A39" s="255" t="s">
        <v>115</v>
      </c>
      <c r="B39" s="256">
        <f t="shared" ref="B39:M39" si="17">IF(B38&lt;B34,B38,B34)</f>
        <v>2893855.384615385</v>
      </c>
      <c r="C39" s="256">
        <f t="shared" si="17"/>
        <v>2456086.153846154</v>
      </c>
      <c r="D39" s="256">
        <f t="shared" si="17"/>
        <v>2623772.3076923075</v>
      </c>
      <c r="E39" s="256">
        <f t="shared" si="17"/>
        <v>2645926.1538461535</v>
      </c>
      <c r="F39" s="256">
        <f t="shared" si="17"/>
        <v>2662541.5384615385</v>
      </c>
      <c r="G39" s="256">
        <f t="shared" si="17"/>
        <v>2679156.923076923</v>
      </c>
      <c r="H39" s="256">
        <f t="shared" si="17"/>
        <v>2695772.3076923075</v>
      </c>
      <c r="I39" s="256">
        <f t="shared" si="17"/>
        <v>2738316.9230769235</v>
      </c>
      <c r="J39" s="256">
        <f t="shared" si="17"/>
        <v>4387393.8461538469</v>
      </c>
      <c r="K39" s="256">
        <f t="shared" si="17"/>
        <v>4387393.8461538469</v>
      </c>
      <c r="L39" s="256">
        <f t="shared" si="17"/>
        <v>4387393.8461538469</v>
      </c>
      <c r="M39" s="256">
        <f t="shared" si="17"/>
        <v>4387393.8461538469</v>
      </c>
    </row>
    <row r="40" spans="1:13" x14ac:dyDescent="0.25">
      <c r="A40" s="257" t="s">
        <v>116</v>
      </c>
      <c r="B40" s="256">
        <f t="shared" ref="B40:M40" si="18">B39-(B39*B6)</f>
        <v>1881006.0000000005</v>
      </c>
      <c r="C40" s="256">
        <f t="shared" si="18"/>
        <v>1596456</v>
      </c>
      <c r="D40" s="256">
        <f t="shared" si="18"/>
        <v>1705452</v>
      </c>
      <c r="E40" s="256">
        <f t="shared" si="18"/>
        <v>1719852</v>
      </c>
      <c r="F40" s="256">
        <f t="shared" si="18"/>
        <v>1730652</v>
      </c>
      <c r="G40" s="256">
        <f t="shared" si="18"/>
        <v>1741452</v>
      </c>
      <c r="H40" s="256">
        <f t="shared" si="18"/>
        <v>1752252</v>
      </c>
      <c r="I40" s="256">
        <f t="shared" si="18"/>
        <v>1779906.0000000005</v>
      </c>
      <c r="J40" s="256">
        <f t="shared" si="18"/>
        <v>2851806.0000000009</v>
      </c>
      <c r="K40" s="256">
        <f t="shared" si="18"/>
        <v>2851806.0000000009</v>
      </c>
      <c r="L40" s="256">
        <f t="shared" si="18"/>
        <v>2851806.0000000009</v>
      </c>
      <c r="M40" s="256">
        <f t="shared" si="18"/>
        <v>2851806.0000000009</v>
      </c>
    </row>
    <row r="41" spans="1:13" x14ac:dyDescent="0.25">
      <c r="A41" s="255" t="s">
        <v>117</v>
      </c>
      <c r="B41" s="256">
        <f t="shared" ref="B41:M41" si="19">B34-B38</f>
        <v>1606144.615384615</v>
      </c>
      <c r="C41" s="256">
        <f t="shared" si="19"/>
        <v>2043913.846153846</v>
      </c>
      <c r="D41" s="256">
        <f t="shared" si="19"/>
        <v>1876227.6923076925</v>
      </c>
      <c r="E41" s="256">
        <f t="shared" si="19"/>
        <v>1854073.8461538465</v>
      </c>
      <c r="F41" s="256">
        <f t="shared" si="19"/>
        <v>1837458.4615384615</v>
      </c>
      <c r="G41" s="256">
        <f t="shared" si="19"/>
        <v>1820843.076923077</v>
      </c>
      <c r="H41" s="256">
        <f t="shared" si="19"/>
        <v>1804227.6923076925</v>
      </c>
      <c r="I41" s="256">
        <f t="shared" si="19"/>
        <v>1761683.0769230765</v>
      </c>
      <c r="J41" s="256">
        <f t="shared" si="19"/>
        <v>112606.15384615306</v>
      </c>
      <c r="K41" s="256">
        <f t="shared" si="19"/>
        <v>112606.15384615306</v>
      </c>
      <c r="L41" s="256">
        <f t="shared" si="19"/>
        <v>112606.15384615306</v>
      </c>
      <c r="M41" s="256">
        <f t="shared" si="19"/>
        <v>112606.15384615306</v>
      </c>
    </row>
    <row r="42" spans="1:13" x14ac:dyDescent="0.25">
      <c r="A42" s="255" t="s">
        <v>118</v>
      </c>
      <c r="B42" s="256">
        <f>+C4+B14</f>
        <v>30082</v>
      </c>
      <c r="C42" s="256">
        <f t="shared" ref="C42:M42" si="20">+B42+C14</f>
        <v>30582</v>
      </c>
      <c r="D42" s="256">
        <f t="shared" si="20"/>
        <v>31082</v>
      </c>
      <c r="E42" s="256">
        <f t="shared" si="20"/>
        <v>31382</v>
      </c>
      <c r="F42" s="256">
        <f t="shared" si="20"/>
        <v>31682</v>
      </c>
      <c r="G42" s="256">
        <f t="shared" si="20"/>
        <v>31982</v>
      </c>
      <c r="H42" s="256">
        <f t="shared" si="20"/>
        <v>32282</v>
      </c>
      <c r="I42" s="256">
        <f t="shared" si="20"/>
        <v>32282</v>
      </c>
      <c r="J42" s="256">
        <f t="shared" si="20"/>
        <v>32282</v>
      </c>
      <c r="K42" s="256">
        <f t="shared" si="20"/>
        <v>32282</v>
      </c>
      <c r="L42" s="256">
        <f t="shared" si="20"/>
        <v>32282</v>
      </c>
      <c r="M42" s="256">
        <f t="shared" si="20"/>
        <v>32282</v>
      </c>
    </row>
    <row r="43" spans="1:13" x14ac:dyDescent="0.25">
      <c r="A43" s="255" t="s">
        <v>119</v>
      </c>
      <c r="B43" s="345">
        <f t="shared" ref="B43:M43" si="21">($B$9*B14 +$B$24*B29)/1000000</f>
        <v>3.5999999999999997E-2</v>
      </c>
      <c r="C43" s="345">
        <f t="shared" si="21"/>
        <v>0.06</v>
      </c>
      <c r="D43" s="345">
        <f t="shared" si="21"/>
        <v>0.06</v>
      </c>
      <c r="E43" s="345">
        <f t="shared" si="21"/>
        <v>3.5999999999999997E-2</v>
      </c>
      <c r="F43" s="345">
        <f t="shared" si="21"/>
        <v>3.5999999999999997E-2</v>
      </c>
      <c r="G43" s="345">
        <f t="shared" si="21"/>
        <v>3.5999999999999997E-2</v>
      </c>
      <c r="H43" s="345">
        <f t="shared" si="21"/>
        <v>3.5999999999999997E-2</v>
      </c>
      <c r="I43" s="345">
        <f t="shared" si="21"/>
        <v>0</v>
      </c>
      <c r="J43" s="345">
        <f t="shared" si="21"/>
        <v>0</v>
      </c>
      <c r="K43" s="345">
        <f t="shared" si="21"/>
        <v>0</v>
      </c>
      <c r="L43" s="345">
        <f t="shared" si="21"/>
        <v>0</v>
      </c>
      <c r="M43" s="345">
        <f t="shared" si="21"/>
        <v>0</v>
      </c>
    </row>
    <row r="44" spans="1:13" x14ac:dyDescent="0.25">
      <c r="A44" s="259" t="s">
        <v>120</v>
      </c>
      <c r="B44" s="260">
        <f>B37*30/1000000</f>
        <v>1.276767</v>
      </c>
      <c r="C44" s="260">
        <f t="shared" ref="C44:M44" si="22">C37*30/1000000</f>
        <v>1.108017</v>
      </c>
      <c r="D44" s="260">
        <f t="shared" si="22"/>
        <v>1.189764</v>
      </c>
      <c r="E44" s="260">
        <f t="shared" si="22"/>
        <v>1.200564</v>
      </c>
      <c r="F44" s="260">
        <f t="shared" si="22"/>
        <v>1.208664</v>
      </c>
      <c r="G44" s="260">
        <f t="shared" si="22"/>
        <v>1.216764</v>
      </c>
      <c r="H44" s="260">
        <f t="shared" si="22"/>
        <v>1.2159314999999999</v>
      </c>
      <c r="I44" s="260">
        <f t="shared" si="22"/>
        <v>1.2063014999999999</v>
      </c>
      <c r="J44" s="260">
        <f t="shared" si="22"/>
        <v>1.8172844999999997</v>
      </c>
      <c r="K44" s="260">
        <f t="shared" si="22"/>
        <v>1.8172844999999997</v>
      </c>
      <c r="L44" s="260">
        <f t="shared" si="22"/>
        <v>1.8172844999999997</v>
      </c>
      <c r="M44" s="260">
        <f t="shared" si="22"/>
        <v>1.8172844999999997</v>
      </c>
    </row>
    <row r="45" spans="1:13" ht="24.75" x14ac:dyDescent="0.25">
      <c r="A45" s="261" t="s">
        <v>178</v>
      </c>
      <c r="B45" s="262" t="str">
        <f>B4</f>
        <v>Jun</v>
      </c>
      <c r="C45" s="88">
        <v>29000</v>
      </c>
      <c r="D45" s="263" t="s">
        <v>121</v>
      </c>
      <c r="E45" s="264"/>
      <c r="F45" s="246"/>
      <c r="G45" s="265"/>
      <c r="H45" s="265"/>
      <c r="I45" s="265"/>
      <c r="J45" s="265"/>
      <c r="K45" s="265"/>
      <c r="L45" s="265"/>
      <c r="M45" s="265"/>
    </row>
    <row r="46" spans="1:13" ht="15.75" x14ac:dyDescent="0.25">
      <c r="A46" s="266">
        <f t="shared" ref="A46:M46" si="23">A21</f>
        <v>0</v>
      </c>
      <c r="B46" s="267" t="str">
        <f t="shared" si="23"/>
        <v>Jul</v>
      </c>
      <c r="C46" s="267" t="str">
        <f t="shared" si="23"/>
        <v>Aug</v>
      </c>
      <c r="D46" s="267" t="str">
        <f t="shared" si="23"/>
        <v>Sept</v>
      </c>
      <c r="E46" s="267" t="str">
        <f t="shared" si="23"/>
        <v>Oct</v>
      </c>
      <c r="F46" s="267" t="str">
        <f t="shared" si="23"/>
        <v>Nov</v>
      </c>
      <c r="G46" s="267" t="str">
        <f t="shared" si="23"/>
        <v>Dec</v>
      </c>
      <c r="H46" s="267" t="str">
        <f t="shared" si="23"/>
        <v>Jan</v>
      </c>
      <c r="I46" s="267" t="str">
        <f t="shared" si="23"/>
        <v>Feb</v>
      </c>
      <c r="J46" s="267" t="str">
        <f t="shared" si="23"/>
        <v>Mar</v>
      </c>
      <c r="K46" s="267" t="str">
        <f t="shared" si="23"/>
        <v>Apr</v>
      </c>
      <c r="L46" s="267" t="str">
        <f t="shared" si="23"/>
        <v>May</v>
      </c>
      <c r="M46" s="267" t="str">
        <f t="shared" si="23"/>
        <v>Jun</v>
      </c>
    </row>
    <row r="47" spans="1:13" x14ac:dyDescent="0.25">
      <c r="A47" s="268" t="s">
        <v>122</v>
      </c>
      <c r="B47" s="316">
        <v>1.1000000000000001</v>
      </c>
      <c r="C47" s="246"/>
      <c r="D47" s="246"/>
      <c r="E47" s="246"/>
      <c r="F47" s="246"/>
      <c r="G47" s="246"/>
      <c r="H47" s="246"/>
      <c r="I47" s="246"/>
      <c r="J47" s="246"/>
      <c r="K47" s="246"/>
      <c r="L47" s="246"/>
      <c r="M47" s="246"/>
    </row>
    <row r="48" spans="1:13" x14ac:dyDescent="0.25">
      <c r="A48" s="269" t="s">
        <v>123</v>
      </c>
      <c r="B48" s="91">
        <v>120</v>
      </c>
      <c r="C48" s="246"/>
      <c r="D48" s="246"/>
      <c r="E48" s="246"/>
      <c r="F48" s="246"/>
      <c r="G48" s="246"/>
      <c r="H48" s="246"/>
      <c r="I48" s="246"/>
      <c r="J48" s="246"/>
      <c r="K48" s="246"/>
      <c r="L48" s="246"/>
      <c r="M48" s="246"/>
    </row>
    <row r="49" spans="1:13" x14ac:dyDescent="0.25">
      <c r="A49" s="270" t="s">
        <v>124</v>
      </c>
      <c r="B49" s="317">
        <v>0</v>
      </c>
      <c r="C49" s="317">
        <v>0</v>
      </c>
      <c r="D49" s="317">
        <v>0</v>
      </c>
      <c r="E49" s="317">
        <v>0</v>
      </c>
      <c r="F49" s="317">
        <v>0</v>
      </c>
      <c r="G49" s="317">
        <v>0</v>
      </c>
      <c r="H49" s="317">
        <v>0</v>
      </c>
      <c r="I49" s="317">
        <v>0</v>
      </c>
      <c r="J49" s="317">
        <v>0</v>
      </c>
      <c r="K49" s="317">
        <v>0</v>
      </c>
      <c r="L49" s="317">
        <v>0</v>
      </c>
      <c r="M49" s="317">
        <v>0</v>
      </c>
    </row>
    <row r="50" spans="1:13" x14ac:dyDescent="0.25">
      <c r="A50" s="271" t="s">
        <v>125</v>
      </c>
      <c r="B50" s="242">
        <f>1*(1+B49)</f>
        <v>1</v>
      </c>
      <c r="C50" s="242">
        <f>B50*(1+C49)</f>
        <v>1</v>
      </c>
      <c r="D50" s="242">
        <f t="shared" ref="D50:M50" si="24">C50*(1+D49)</f>
        <v>1</v>
      </c>
      <c r="E50" s="242">
        <f t="shared" si="24"/>
        <v>1</v>
      </c>
      <c r="F50" s="242">
        <f t="shared" si="24"/>
        <v>1</v>
      </c>
      <c r="G50" s="242">
        <f t="shared" si="24"/>
        <v>1</v>
      </c>
      <c r="H50" s="242">
        <f t="shared" si="24"/>
        <v>1</v>
      </c>
      <c r="I50" s="242">
        <f t="shared" si="24"/>
        <v>1</v>
      </c>
      <c r="J50" s="242">
        <f t="shared" si="24"/>
        <v>1</v>
      </c>
      <c r="K50" s="242">
        <f t="shared" si="24"/>
        <v>1</v>
      </c>
      <c r="L50" s="242">
        <f t="shared" si="24"/>
        <v>1</v>
      </c>
      <c r="M50" s="242">
        <f t="shared" si="24"/>
        <v>1</v>
      </c>
    </row>
    <row r="51" spans="1:13" x14ac:dyDescent="0.25">
      <c r="A51" s="272" t="s">
        <v>101</v>
      </c>
      <c r="B51" s="242">
        <f>(B50+1)/2</f>
        <v>1</v>
      </c>
      <c r="C51" s="242">
        <f t="shared" ref="C51:M51" si="25">(+B50+C50)/2</f>
        <v>1</v>
      </c>
      <c r="D51" s="242">
        <f t="shared" si="25"/>
        <v>1</v>
      </c>
      <c r="E51" s="242">
        <f t="shared" si="25"/>
        <v>1</v>
      </c>
      <c r="F51" s="242">
        <f t="shared" si="25"/>
        <v>1</v>
      </c>
      <c r="G51" s="242">
        <f t="shared" si="25"/>
        <v>1</v>
      </c>
      <c r="H51" s="242">
        <f t="shared" si="25"/>
        <v>1</v>
      </c>
      <c r="I51" s="242">
        <f t="shared" si="25"/>
        <v>1</v>
      </c>
      <c r="J51" s="242">
        <f t="shared" si="25"/>
        <v>1</v>
      </c>
      <c r="K51" s="242">
        <f t="shared" si="25"/>
        <v>1</v>
      </c>
      <c r="L51" s="242">
        <f t="shared" si="25"/>
        <v>1</v>
      </c>
      <c r="M51" s="242">
        <f t="shared" si="25"/>
        <v>1</v>
      </c>
    </row>
    <row r="52" spans="1:13" x14ac:dyDescent="0.25">
      <c r="A52" s="272" t="s">
        <v>102</v>
      </c>
      <c r="B52" s="243">
        <f>$B$47*B51</f>
        <v>1.1000000000000001</v>
      </c>
      <c r="C52" s="243">
        <f t="shared" ref="C52:M52" si="26">$B$47*C51</f>
        <v>1.1000000000000001</v>
      </c>
      <c r="D52" s="243">
        <f t="shared" si="26"/>
        <v>1.1000000000000001</v>
      </c>
      <c r="E52" s="243">
        <f t="shared" si="26"/>
        <v>1.1000000000000001</v>
      </c>
      <c r="F52" s="243">
        <f t="shared" si="26"/>
        <v>1.1000000000000001</v>
      </c>
      <c r="G52" s="243">
        <f t="shared" si="26"/>
        <v>1.1000000000000001</v>
      </c>
      <c r="H52" s="243">
        <f t="shared" si="26"/>
        <v>1.1000000000000001</v>
      </c>
      <c r="I52" s="243">
        <f t="shared" si="26"/>
        <v>1.1000000000000001</v>
      </c>
      <c r="J52" s="243">
        <f t="shared" si="26"/>
        <v>1.1000000000000001</v>
      </c>
      <c r="K52" s="243">
        <f t="shared" si="26"/>
        <v>1.1000000000000001</v>
      </c>
      <c r="L52" s="243">
        <f t="shared" si="26"/>
        <v>1.1000000000000001</v>
      </c>
      <c r="M52" s="243">
        <f t="shared" si="26"/>
        <v>1.1000000000000001</v>
      </c>
    </row>
    <row r="53" spans="1:13" x14ac:dyDescent="0.25">
      <c r="A53" s="268" t="s">
        <v>178</v>
      </c>
      <c r="B53" s="246">
        <f>C45</f>
        <v>29000</v>
      </c>
      <c r="C53" s="246">
        <f>B57</f>
        <v>29200</v>
      </c>
      <c r="D53" s="246">
        <f>C57</f>
        <v>29400</v>
      </c>
      <c r="E53" s="246">
        <f t="shared" ref="E53:M53" si="27">D57</f>
        <v>29600</v>
      </c>
      <c r="F53" s="246">
        <f t="shared" si="27"/>
        <v>29600</v>
      </c>
      <c r="G53" s="246">
        <f t="shared" si="27"/>
        <v>29600</v>
      </c>
      <c r="H53" s="246">
        <f t="shared" si="27"/>
        <v>29600</v>
      </c>
      <c r="I53" s="246">
        <f t="shared" si="27"/>
        <v>29600</v>
      </c>
      <c r="J53" s="246">
        <f t="shared" si="27"/>
        <v>29600</v>
      </c>
      <c r="K53" s="246">
        <f t="shared" si="27"/>
        <v>29600</v>
      </c>
      <c r="L53" s="246">
        <f t="shared" si="27"/>
        <v>29600</v>
      </c>
      <c r="M53" s="246">
        <f t="shared" si="27"/>
        <v>29600</v>
      </c>
    </row>
    <row r="54" spans="1:13" x14ac:dyDescent="0.25">
      <c r="A54" s="268" t="s">
        <v>126</v>
      </c>
      <c r="B54" s="91">
        <v>200</v>
      </c>
      <c r="C54" s="91">
        <v>200</v>
      </c>
      <c r="D54" s="91">
        <v>200</v>
      </c>
      <c r="E54" s="91">
        <v>0</v>
      </c>
      <c r="F54" s="91">
        <v>0</v>
      </c>
      <c r="G54" s="91">
        <v>0</v>
      </c>
      <c r="H54" s="91">
        <v>0</v>
      </c>
      <c r="I54" s="91">
        <v>0</v>
      </c>
      <c r="J54" s="91">
        <v>0</v>
      </c>
      <c r="K54" s="91">
        <v>0</v>
      </c>
      <c r="L54" s="91">
        <v>0</v>
      </c>
      <c r="M54" s="91">
        <v>0</v>
      </c>
    </row>
    <row r="55" spans="1:13" x14ac:dyDescent="0.25">
      <c r="A55" s="270" t="s">
        <v>127</v>
      </c>
      <c r="B55" s="318">
        <v>5000000</v>
      </c>
      <c r="C55" s="319">
        <v>5000000</v>
      </c>
      <c r="D55" s="319">
        <v>5000000</v>
      </c>
      <c r="E55" s="319">
        <v>5000000</v>
      </c>
      <c r="F55" s="319">
        <v>5000000</v>
      </c>
      <c r="G55" s="319">
        <v>5000000</v>
      </c>
      <c r="H55" s="319">
        <v>5000000</v>
      </c>
      <c r="I55" s="319">
        <v>5000000</v>
      </c>
      <c r="J55" s="319">
        <v>5000000</v>
      </c>
      <c r="K55" s="319">
        <v>5000000</v>
      </c>
      <c r="L55" s="319">
        <v>5000000</v>
      </c>
      <c r="M55" s="319">
        <v>5000000</v>
      </c>
    </row>
    <row r="56" spans="1:13" x14ac:dyDescent="0.25">
      <c r="A56" s="272" t="s">
        <v>128</v>
      </c>
      <c r="B56" s="273">
        <f t="shared" ref="B56:M56" si="28">B53/(B16+B31)*B35</f>
        <v>1095760.9979510668</v>
      </c>
      <c r="C56" s="273">
        <f t="shared" si="28"/>
        <v>928948.92989518179</v>
      </c>
      <c r="D56" s="273">
        <f t="shared" si="28"/>
        <v>989311.56623653357</v>
      </c>
      <c r="E56" s="273">
        <f t="shared" si="28"/>
        <v>996586.25739007874</v>
      </c>
      <c r="F56" s="273">
        <f t="shared" si="28"/>
        <v>996989.2024444358</v>
      </c>
      <c r="G56" s="273">
        <f t="shared" si="28"/>
        <v>997387.46952517319</v>
      </c>
      <c r="H56" s="273">
        <f t="shared" si="28"/>
        <v>997781.13962525502</v>
      </c>
      <c r="I56" s="273">
        <f t="shared" si="28"/>
        <v>1010611.8621959643</v>
      </c>
      <c r="J56" s="273">
        <f t="shared" si="28"/>
        <v>1619225.381723318</v>
      </c>
      <c r="K56" s="273">
        <f t="shared" si="28"/>
        <v>1619225.381723318</v>
      </c>
      <c r="L56" s="273">
        <f t="shared" si="28"/>
        <v>1619225.381723318</v>
      </c>
      <c r="M56" s="273">
        <f t="shared" si="28"/>
        <v>1619225.381723318</v>
      </c>
    </row>
    <row r="57" spans="1:13" x14ac:dyDescent="0.25">
      <c r="A57" s="272" t="s">
        <v>129</v>
      </c>
      <c r="B57" s="246">
        <f>+B53+B54</f>
        <v>29200</v>
      </c>
      <c r="C57" s="246">
        <f t="shared" ref="C57" si="29">+B57+C54</f>
        <v>29400</v>
      </c>
      <c r="D57" s="246">
        <f t="shared" ref="D57" si="30">+C57+D54</f>
        <v>29600</v>
      </c>
      <c r="E57" s="246">
        <f t="shared" ref="E57" si="31">+D57+E54</f>
        <v>29600</v>
      </c>
      <c r="F57" s="246">
        <f t="shared" ref="F57" si="32">+E57+F54</f>
        <v>29600</v>
      </c>
      <c r="G57" s="246">
        <f t="shared" ref="G57" si="33">+F57+G54</f>
        <v>29600</v>
      </c>
      <c r="H57" s="246">
        <f t="shared" ref="H57" si="34">+G57+H54</f>
        <v>29600</v>
      </c>
      <c r="I57" s="246">
        <f t="shared" ref="I57" si="35">+H57+I54</f>
        <v>29600</v>
      </c>
      <c r="J57" s="246">
        <f t="shared" ref="J57" si="36">+I57+J54</f>
        <v>29600</v>
      </c>
      <c r="K57" s="246">
        <f t="shared" ref="K57" si="37">+J57+K54</f>
        <v>29600</v>
      </c>
      <c r="L57" s="246">
        <f t="shared" ref="L57" si="38">+K57+L54</f>
        <v>29600</v>
      </c>
      <c r="M57" s="246">
        <f t="shared" ref="M57" si="39">+L57+M54</f>
        <v>29600</v>
      </c>
    </row>
    <row r="58" spans="1:13" x14ac:dyDescent="0.25">
      <c r="A58" s="272" t="s">
        <v>130</v>
      </c>
      <c r="B58" s="274">
        <f>B56*B52/1000000</f>
        <v>1.2053370977461737</v>
      </c>
      <c r="C58" s="274">
        <f t="shared" ref="C58:M58" si="40">C56*C52/1000000</f>
        <v>1.0218438228847</v>
      </c>
      <c r="D58" s="274">
        <f t="shared" si="40"/>
        <v>1.088242722860187</v>
      </c>
      <c r="E58" s="274">
        <f t="shared" si="40"/>
        <v>1.0962448831290867</v>
      </c>
      <c r="F58" s="274">
        <f t="shared" si="40"/>
        <v>1.0966881226888794</v>
      </c>
      <c r="G58" s="274">
        <f t="shared" si="40"/>
        <v>1.0971262164776905</v>
      </c>
      <c r="H58" s="274">
        <f t="shared" si="40"/>
        <v>1.0975592535877805</v>
      </c>
      <c r="I58" s="274">
        <f t="shared" si="40"/>
        <v>1.1116730484155608</v>
      </c>
      <c r="J58" s="274">
        <f t="shared" si="40"/>
        <v>1.7811479198956499</v>
      </c>
      <c r="K58" s="274">
        <f t="shared" si="40"/>
        <v>1.7811479198956499</v>
      </c>
      <c r="L58" s="274">
        <f t="shared" si="40"/>
        <v>1.7811479198956499</v>
      </c>
      <c r="M58" s="274">
        <f t="shared" si="40"/>
        <v>1.7811479198956499</v>
      </c>
    </row>
    <row r="59" spans="1:13" x14ac:dyDescent="0.25">
      <c r="A59" s="275" t="s">
        <v>131</v>
      </c>
      <c r="B59" s="276">
        <f t="shared" ref="B59:M59" si="41">B54*$B$48/1000000</f>
        <v>2.4E-2</v>
      </c>
      <c r="C59" s="276">
        <f t="shared" si="41"/>
        <v>2.4E-2</v>
      </c>
      <c r="D59" s="276">
        <f t="shared" si="41"/>
        <v>2.4E-2</v>
      </c>
      <c r="E59" s="276">
        <f t="shared" si="41"/>
        <v>0</v>
      </c>
      <c r="F59" s="276">
        <f t="shared" si="41"/>
        <v>0</v>
      </c>
      <c r="G59" s="276">
        <f t="shared" si="41"/>
        <v>0</v>
      </c>
      <c r="H59" s="276">
        <f t="shared" si="41"/>
        <v>0</v>
      </c>
      <c r="I59" s="276">
        <f t="shared" si="41"/>
        <v>0</v>
      </c>
      <c r="J59" s="276">
        <f t="shared" si="41"/>
        <v>0</v>
      </c>
      <c r="K59" s="276">
        <f t="shared" si="41"/>
        <v>0</v>
      </c>
      <c r="L59" s="276">
        <f t="shared" si="41"/>
        <v>0</v>
      </c>
      <c r="M59" s="276">
        <f t="shared" si="41"/>
        <v>0</v>
      </c>
    </row>
    <row r="60" spans="1:13" ht="15.75" x14ac:dyDescent="0.25">
      <c r="A60" s="277" t="s">
        <v>163</v>
      </c>
      <c r="B60" s="90">
        <v>0.13900000000000001</v>
      </c>
      <c r="C60" s="90">
        <v>0.13900000000000001</v>
      </c>
      <c r="D60" s="90">
        <v>0.13900000000000001</v>
      </c>
      <c r="E60" s="90">
        <v>0.13900000000000001</v>
      </c>
      <c r="F60" s="90">
        <v>0.13900000000000001</v>
      </c>
      <c r="G60" s="90">
        <v>0.13900000000000001</v>
      </c>
      <c r="H60" s="90">
        <v>0.13900000000000001</v>
      </c>
      <c r="I60" s="90">
        <v>0.13900000000000001</v>
      </c>
      <c r="J60" s="90">
        <v>0.13900000000000001</v>
      </c>
      <c r="K60" s="90">
        <v>0.13900000000000001</v>
      </c>
      <c r="L60" s="90">
        <v>0.13900000000000001</v>
      </c>
      <c r="M60" s="90">
        <v>0.13900000000000001</v>
      </c>
    </row>
    <row r="61" spans="1:13" ht="15.75" x14ac:dyDescent="0.25">
      <c r="A61" s="278" t="s">
        <v>132</v>
      </c>
      <c r="B61" s="279" t="str">
        <f t="shared" ref="B61:M61" si="42">B5</f>
        <v>Jul</v>
      </c>
      <c r="C61" s="279" t="str">
        <f t="shared" si="42"/>
        <v>Aug</v>
      </c>
      <c r="D61" s="279" t="str">
        <f t="shared" si="42"/>
        <v>Sept</v>
      </c>
      <c r="E61" s="279" t="str">
        <f t="shared" si="42"/>
        <v>Oct</v>
      </c>
      <c r="F61" s="279" t="str">
        <f t="shared" si="42"/>
        <v>Nov</v>
      </c>
      <c r="G61" s="279" t="str">
        <f t="shared" si="42"/>
        <v>Dec</v>
      </c>
      <c r="H61" s="279" t="str">
        <f t="shared" si="42"/>
        <v>Jan</v>
      </c>
      <c r="I61" s="279" t="str">
        <f t="shared" si="42"/>
        <v>Feb</v>
      </c>
      <c r="J61" s="279" t="str">
        <f t="shared" si="42"/>
        <v>Mar</v>
      </c>
      <c r="K61" s="279" t="str">
        <f t="shared" si="42"/>
        <v>Apr</v>
      </c>
      <c r="L61" s="279" t="str">
        <f t="shared" si="42"/>
        <v>May</v>
      </c>
      <c r="M61" s="279" t="str">
        <f t="shared" si="42"/>
        <v>Jun</v>
      </c>
    </row>
    <row r="62" spans="1:13" x14ac:dyDescent="0.25">
      <c r="A62" s="280" t="s">
        <v>133</v>
      </c>
      <c r="B62" s="281"/>
      <c r="C62" s="281"/>
      <c r="D62" s="281"/>
      <c r="E62" s="281"/>
      <c r="F62" s="281"/>
      <c r="G62" s="281"/>
      <c r="H62" s="281"/>
      <c r="I62" s="281"/>
      <c r="J62" s="281"/>
      <c r="K62" s="281"/>
      <c r="L62" s="281"/>
      <c r="M62" s="281"/>
    </row>
    <row r="63" spans="1:13" x14ac:dyDescent="0.25">
      <c r="A63" s="245" t="s">
        <v>134</v>
      </c>
      <c r="B63" s="320">
        <v>0.03</v>
      </c>
      <c r="C63" s="320">
        <v>0.03</v>
      </c>
      <c r="D63" s="320">
        <v>0.03</v>
      </c>
      <c r="E63" s="320">
        <v>0.03</v>
      </c>
      <c r="F63" s="320">
        <v>0.03</v>
      </c>
      <c r="G63" s="320">
        <v>0.03</v>
      </c>
      <c r="H63" s="320">
        <v>0.03</v>
      </c>
      <c r="I63" s="320">
        <v>0.03</v>
      </c>
      <c r="J63" s="320">
        <v>0.03</v>
      </c>
      <c r="K63" s="320">
        <v>0.03</v>
      </c>
      <c r="L63" s="320">
        <v>0.03</v>
      </c>
      <c r="M63" s="320">
        <v>0.03</v>
      </c>
    </row>
    <row r="64" spans="1:13" x14ac:dyDescent="0.25">
      <c r="A64" s="282" t="s">
        <v>135</v>
      </c>
      <c r="B64" s="265">
        <f t="shared" ref="B64:M64" si="43">+B38+ B38*(B63)</f>
        <v>2980671.0461538467</v>
      </c>
      <c r="C64" s="265">
        <f t="shared" si="43"/>
        <v>2529768.7384615387</v>
      </c>
      <c r="D64" s="265">
        <f t="shared" si="43"/>
        <v>2702485.4769230769</v>
      </c>
      <c r="E64" s="265">
        <f t="shared" si="43"/>
        <v>2725303.9384615379</v>
      </c>
      <c r="F64" s="265">
        <f t="shared" si="43"/>
        <v>2742417.7846153844</v>
      </c>
      <c r="G64" s="265">
        <f t="shared" si="43"/>
        <v>2759531.6307692309</v>
      </c>
      <c r="H64" s="265">
        <f t="shared" si="43"/>
        <v>2776645.4769230769</v>
      </c>
      <c r="I64" s="265">
        <f t="shared" si="43"/>
        <v>2820466.4307692312</v>
      </c>
      <c r="J64" s="265">
        <f t="shared" si="43"/>
        <v>4519015.6615384622</v>
      </c>
      <c r="K64" s="265">
        <f t="shared" si="43"/>
        <v>4519015.6615384622</v>
      </c>
      <c r="L64" s="265">
        <f t="shared" si="43"/>
        <v>4519015.6615384622</v>
      </c>
      <c r="M64" s="265">
        <f t="shared" si="43"/>
        <v>4519015.6615384622</v>
      </c>
    </row>
    <row r="65" spans="1:13" x14ac:dyDescent="0.25">
      <c r="A65" s="248" t="s">
        <v>136</v>
      </c>
      <c r="B65" s="321">
        <v>0.03</v>
      </c>
      <c r="C65" s="321">
        <v>0.03</v>
      </c>
      <c r="D65" s="321">
        <v>0.03</v>
      </c>
      <c r="E65" s="321">
        <v>0.03</v>
      </c>
      <c r="F65" s="321">
        <v>0.03</v>
      </c>
      <c r="G65" s="321">
        <v>0.03</v>
      </c>
      <c r="H65" s="321">
        <v>0.03</v>
      </c>
      <c r="I65" s="321">
        <v>0.03</v>
      </c>
      <c r="J65" s="321">
        <v>0.03</v>
      </c>
      <c r="K65" s="321">
        <v>0.03</v>
      </c>
      <c r="L65" s="321">
        <v>0.03</v>
      </c>
      <c r="M65" s="321">
        <v>0.03</v>
      </c>
    </row>
    <row r="66" spans="1:13" x14ac:dyDescent="0.25">
      <c r="A66" s="282" t="s">
        <v>137</v>
      </c>
      <c r="B66" s="283">
        <f>+B64*B65/1000000</f>
        <v>8.9420131384615395E-2</v>
      </c>
      <c r="C66" s="283">
        <f t="shared" ref="C66:M66" si="44">+C64*C65/1000000</f>
        <v>7.5893062153846155E-2</v>
      </c>
      <c r="D66" s="283">
        <f t="shared" si="44"/>
        <v>8.1074564307692304E-2</v>
      </c>
      <c r="E66" s="283">
        <f t="shared" si="44"/>
        <v>8.1759118153846136E-2</v>
      </c>
      <c r="F66" s="283">
        <f t="shared" si="44"/>
        <v>8.2272533538461534E-2</v>
      </c>
      <c r="G66" s="283">
        <f t="shared" si="44"/>
        <v>8.2785948923076919E-2</v>
      </c>
      <c r="H66" s="283">
        <f t="shared" si="44"/>
        <v>8.3299364307692303E-2</v>
      </c>
      <c r="I66" s="283">
        <f t="shared" si="44"/>
        <v>8.4613992923076933E-2</v>
      </c>
      <c r="J66" s="283">
        <f t="shared" si="44"/>
        <v>0.13557046984615387</v>
      </c>
      <c r="K66" s="283">
        <f t="shared" si="44"/>
        <v>0.13557046984615387</v>
      </c>
      <c r="L66" s="283">
        <f t="shared" si="44"/>
        <v>0.13557046984615387</v>
      </c>
      <c r="M66" s="283">
        <f t="shared" si="44"/>
        <v>0.13557046984615387</v>
      </c>
    </row>
    <row r="67" spans="1:13" x14ac:dyDescent="0.25">
      <c r="A67" s="284" t="s">
        <v>138</v>
      </c>
      <c r="B67" s="285"/>
      <c r="C67" s="285"/>
      <c r="D67" s="285"/>
      <c r="E67" s="285"/>
      <c r="F67" s="285"/>
      <c r="G67" s="285"/>
      <c r="H67" s="285"/>
      <c r="I67" s="285"/>
      <c r="J67" s="285"/>
      <c r="K67" s="285"/>
      <c r="L67" s="285"/>
      <c r="M67" s="285"/>
    </row>
    <row r="68" spans="1:13" x14ac:dyDescent="0.25">
      <c r="A68" s="282" t="s">
        <v>139</v>
      </c>
      <c r="B68" s="286">
        <f t="shared" ref="B68:M68" si="45">B39</f>
        <v>2893855.384615385</v>
      </c>
      <c r="C68" s="286">
        <f t="shared" si="45"/>
        <v>2456086.153846154</v>
      </c>
      <c r="D68" s="286">
        <f t="shared" si="45"/>
        <v>2623772.3076923075</v>
      </c>
      <c r="E68" s="286">
        <f t="shared" si="45"/>
        <v>2645926.1538461535</v>
      </c>
      <c r="F68" s="286">
        <f t="shared" si="45"/>
        <v>2662541.5384615385</v>
      </c>
      <c r="G68" s="286">
        <f t="shared" si="45"/>
        <v>2679156.923076923</v>
      </c>
      <c r="H68" s="286">
        <f t="shared" si="45"/>
        <v>2695772.3076923075</v>
      </c>
      <c r="I68" s="286">
        <f t="shared" si="45"/>
        <v>2738316.9230769235</v>
      </c>
      <c r="J68" s="286">
        <f t="shared" si="45"/>
        <v>4387393.8461538469</v>
      </c>
      <c r="K68" s="286">
        <f t="shared" si="45"/>
        <v>4387393.8461538469</v>
      </c>
      <c r="L68" s="286">
        <f t="shared" si="45"/>
        <v>4387393.8461538469</v>
      </c>
      <c r="M68" s="286">
        <f t="shared" si="45"/>
        <v>4387393.8461538469</v>
      </c>
    </row>
    <row r="69" spans="1:13" x14ac:dyDescent="0.25">
      <c r="A69" s="248" t="s">
        <v>140</v>
      </c>
      <c r="B69" s="89">
        <v>0.06</v>
      </c>
      <c r="C69" s="89">
        <v>1.4999999999999999E-2</v>
      </c>
      <c r="D69" s="89">
        <v>1.4999999999999999E-2</v>
      </c>
      <c r="E69" s="89">
        <v>1.4999999999999999E-2</v>
      </c>
      <c r="F69" s="89">
        <v>1.4999999999999999E-2</v>
      </c>
      <c r="G69" s="89">
        <v>1.4999999999999999E-2</v>
      </c>
      <c r="H69" s="89">
        <v>1.4999999999999999E-2</v>
      </c>
      <c r="I69" s="89">
        <v>1.4999999999999999E-2</v>
      </c>
      <c r="J69" s="89">
        <v>1.4999999999999999E-2</v>
      </c>
      <c r="K69" s="89">
        <v>1.4999999999999999E-2</v>
      </c>
      <c r="L69" s="89">
        <v>1.4999999999999999E-2</v>
      </c>
      <c r="M69" s="89">
        <v>1.4999999999999999E-2</v>
      </c>
    </row>
    <row r="70" spans="1:13" x14ac:dyDescent="0.25">
      <c r="A70" s="282" t="s">
        <v>141</v>
      </c>
      <c r="B70" s="283">
        <f t="shared" ref="B70:M70" si="46">+B68*B69/1000000</f>
        <v>0.17363132307692308</v>
      </c>
      <c r="C70" s="283">
        <f t="shared" si="46"/>
        <v>3.6841292307692314E-2</v>
      </c>
      <c r="D70" s="283">
        <f t="shared" si="46"/>
        <v>3.9356584615384611E-2</v>
      </c>
      <c r="E70" s="283">
        <f t="shared" si="46"/>
        <v>3.9688892307692299E-2</v>
      </c>
      <c r="F70" s="283">
        <f t="shared" si="46"/>
        <v>3.9938123076923078E-2</v>
      </c>
      <c r="G70" s="283">
        <f t="shared" si="46"/>
        <v>4.0187353846153843E-2</v>
      </c>
      <c r="H70" s="283">
        <f t="shared" si="46"/>
        <v>4.0436584615384616E-2</v>
      </c>
      <c r="I70" s="283">
        <f t="shared" si="46"/>
        <v>4.1074753846153847E-2</v>
      </c>
      <c r="J70" s="283">
        <f t="shared" si="46"/>
        <v>6.5810907692307713E-2</v>
      </c>
      <c r="K70" s="283">
        <f t="shared" si="46"/>
        <v>6.5810907692307713E-2</v>
      </c>
      <c r="L70" s="283">
        <f t="shared" si="46"/>
        <v>6.5810907692307713E-2</v>
      </c>
      <c r="M70" s="283">
        <f t="shared" si="46"/>
        <v>6.5810907692307713E-2</v>
      </c>
    </row>
    <row r="71" spans="1:13" x14ac:dyDescent="0.25">
      <c r="A71" s="284" t="s">
        <v>142</v>
      </c>
      <c r="B71" s="287"/>
      <c r="C71" s="287"/>
      <c r="D71" s="287"/>
      <c r="E71" s="287"/>
      <c r="F71" s="287"/>
      <c r="G71" s="287"/>
      <c r="H71" s="287"/>
      <c r="I71" s="287"/>
      <c r="J71" s="287"/>
      <c r="K71" s="287"/>
      <c r="L71" s="287"/>
      <c r="M71" s="287"/>
    </row>
    <row r="72" spans="1:13" x14ac:dyDescent="0.25">
      <c r="A72" s="268" t="s">
        <v>143</v>
      </c>
      <c r="B72" s="90">
        <v>1.6E-2</v>
      </c>
      <c r="C72" s="90">
        <v>1.6E-2</v>
      </c>
      <c r="D72" s="90">
        <v>1.6E-2</v>
      </c>
      <c r="E72" s="90">
        <v>1.6E-2</v>
      </c>
      <c r="F72" s="90">
        <v>1.6E-2</v>
      </c>
      <c r="G72" s="90">
        <v>1.6E-2</v>
      </c>
      <c r="H72" s="90">
        <v>1.6E-2</v>
      </c>
      <c r="I72" s="90">
        <v>1.6E-2</v>
      </c>
      <c r="J72" s="90">
        <v>1.6E-2</v>
      </c>
      <c r="K72" s="90">
        <v>1.6E-2</v>
      </c>
      <c r="L72" s="90">
        <v>1.6E-2</v>
      </c>
      <c r="M72" s="90">
        <v>1.6E-2</v>
      </c>
    </row>
    <row r="73" spans="1:13" x14ac:dyDescent="0.25">
      <c r="A73" s="288" t="s">
        <v>144</v>
      </c>
      <c r="B73" s="289">
        <f t="shared" ref="B73:M73" si="47">B68*B72/1000000</f>
        <v>4.630168615384616E-2</v>
      </c>
      <c r="C73" s="289">
        <f t="shared" si="47"/>
        <v>3.9297378461538468E-2</v>
      </c>
      <c r="D73" s="289">
        <f t="shared" si="47"/>
        <v>4.1980356923076924E-2</v>
      </c>
      <c r="E73" s="289">
        <f t="shared" si="47"/>
        <v>4.2334818461538457E-2</v>
      </c>
      <c r="F73" s="289">
        <f t="shared" si="47"/>
        <v>4.2600664615384615E-2</v>
      </c>
      <c r="G73" s="289">
        <f t="shared" si="47"/>
        <v>4.2866510769230773E-2</v>
      </c>
      <c r="H73" s="289">
        <f t="shared" si="47"/>
        <v>4.3132356923076924E-2</v>
      </c>
      <c r="I73" s="289">
        <f t="shared" si="47"/>
        <v>4.3813070769230779E-2</v>
      </c>
      <c r="J73" s="289">
        <f t="shared" si="47"/>
        <v>7.0198301538461558E-2</v>
      </c>
      <c r="K73" s="289">
        <f t="shared" si="47"/>
        <v>7.0198301538461558E-2</v>
      </c>
      <c r="L73" s="289">
        <f t="shared" si="47"/>
        <v>7.0198301538461558E-2</v>
      </c>
      <c r="M73" s="289">
        <f t="shared" si="47"/>
        <v>7.0198301538461558E-2</v>
      </c>
    </row>
    <row r="74" spans="1:13" x14ac:dyDescent="0.25">
      <c r="A74" s="290" t="s">
        <v>145</v>
      </c>
      <c r="B74" s="291"/>
      <c r="C74" s="291"/>
      <c r="D74" s="291"/>
      <c r="E74" s="291"/>
      <c r="F74" s="291"/>
      <c r="G74" s="291"/>
      <c r="H74" s="291"/>
      <c r="I74" s="291"/>
      <c r="J74" s="291"/>
      <c r="K74" s="291"/>
      <c r="L74" s="291"/>
      <c r="M74" s="291"/>
    </row>
    <row r="75" spans="1:13" x14ac:dyDescent="0.25">
      <c r="A75" s="292" t="s">
        <v>146</v>
      </c>
      <c r="B75" s="89">
        <v>0.35</v>
      </c>
      <c r="C75" s="89">
        <v>0.35</v>
      </c>
      <c r="D75" s="89">
        <v>0.35</v>
      </c>
      <c r="E75" s="89">
        <v>0.35</v>
      </c>
      <c r="F75" s="89">
        <v>0.35</v>
      </c>
      <c r="G75" s="89">
        <v>0.35</v>
      </c>
      <c r="H75" s="89">
        <v>0.35</v>
      </c>
      <c r="I75" s="89">
        <v>0.35</v>
      </c>
      <c r="J75" s="89">
        <v>0.35</v>
      </c>
      <c r="K75" s="89">
        <v>0.35</v>
      </c>
      <c r="L75" s="89">
        <v>0.35</v>
      </c>
      <c r="M75" s="89">
        <v>0.35</v>
      </c>
    </row>
    <row r="76" spans="1:13" x14ac:dyDescent="0.25">
      <c r="A76" s="293" t="s">
        <v>171</v>
      </c>
      <c r="B76" s="285"/>
      <c r="C76" s="287"/>
      <c r="D76" s="287"/>
      <c r="E76" s="287"/>
      <c r="F76" s="287"/>
      <c r="G76" s="287"/>
      <c r="H76" s="287"/>
      <c r="I76" s="287"/>
      <c r="J76" s="287"/>
      <c r="K76" s="287"/>
      <c r="L76" s="287"/>
      <c r="M76" s="287"/>
    </row>
    <row r="77" spans="1:13" x14ac:dyDescent="0.25">
      <c r="A77" s="268" t="s">
        <v>147</v>
      </c>
      <c r="B77" s="91">
        <v>55</v>
      </c>
      <c r="C77" s="91">
        <v>55</v>
      </c>
      <c r="D77" s="91">
        <v>55</v>
      </c>
      <c r="E77" s="91">
        <v>55</v>
      </c>
      <c r="F77" s="91">
        <v>55</v>
      </c>
      <c r="G77" s="91">
        <v>55</v>
      </c>
      <c r="H77" s="91">
        <v>55</v>
      </c>
      <c r="I77" s="91">
        <v>55</v>
      </c>
      <c r="J77" s="91">
        <v>55</v>
      </c>
      <c r="K77" s="91">
        <v>55</v>
      </c>
      <c r="L77" s="91">
        <v>55</v>
      </c>
      <c r="M77" s="91">
        <v>55</v>
      </c>
    </row>
    <row r="78" spans="1:13" x14ac:dyDescent="0.25">
      <c r="A78" s="268" t="s">
        <v>148</v>
      </c>
      <c r="B78" s="84">
        <v>3729</v>
      </c>
      <c r="C78" s="84">
        <v>3729</v>
      </c>
      <c r="D78" s="84">
        <v>3729</v>
      </c>
      <c r="E78" s="84">
        <v>3729</v>
      </c>
      <c r="F78" s="84">
        <v>3729</v>
      </c>
      <c r="G78" s="84">
        <v>3729</v>
      </c>
      <c r="H78" s="84">
        <v>3729</v>
      </c>
      <c r="I78" s="84">
        <v>3729</v>
      </c>
      <c r="J78" s="84">
        <v>3729</v>
      </c>
      <c r="K78" s="84">
        <v>3729</v>
      </c>
      <c r="L78" s="84">
        <v>3729</v>
      </c>
      <c r="M78" s="84">
        <v>3729</v>
      </c>
    </row>
    <row r="79" spans="1:13" x14ac:dyDescent="0.25">
      <c r="A79" s="268" t="s">
        <v>149</v>
      </c>
      <c r="B79" s="294">
        <f t="shared" ref="B79:M79" si="48">+B77*B78/1000000</f>
        <v>0.205095</v>
      </c>
      <c r="C79" s="294">
        <f t="shared" si="48"/>
        <v>0.205095</v>
      </c>
      <c r="D79" s="294">
        <f t="shared" si="48"/>
        <v>0.205095</v>
      </c>
      <c r="E79" s="294">
        <f t="shared" si="48"/>
        <v>0.205095</v>
      </c>
      <c r="F79" s="294">
        <f t="shared" si="48"/>
        <v>0.205095</v>
      </c>
      <c r="G79" s="294">
        <f t="shared" si="48"/>
        <v>0.205095</v>
      </c>
      <c r="H79" s="294">
        <f t="shared" si="48"/>
        <v>0.205095</v>
      </c>
      <c r="I79" s="294">
        <f t="shared" si="48"/>
        <v>0.205095</v>
      </c>
      <c r="J79" s="294">
        <f t="shared" si="48"/>
        <v>0.205095</v>
      </c>
      <c r="K79" s="294">
        <f t="shared" si="48"/>
        <v>0.205095</v>
      </c>
      <c r="L79" s="294">
        <f t="shared" si="48"/>
        <v>0.205095</v>
      </c>
      <c r="M79" s="294">
        <f t="shared" si="48"/>
        <v>0.205095</v>
      </c>
    </row>
    <row r="80" spans="1:13" x14ac:dyDescent="0.25">
      <c r="A80" s="268" t="s">
        <v>150</v>
      </c>
      <c r="B80" s="85">
        <v>0.1</v>
      </c>
      <c r="C80" s="85">
        <v>0.35</v>
      </c>
      <c r="D80" s="85">
        <v>0.35</v>
      </c>
      <c r="E80" s="85">
        <v>0.35</v>
      </c>
      <c r="F80" s="85">
        <v>0.35</v>
      </c>
      <c r="G80" s="85">
        <v>0.1</v>
      </c>
      <c r="H80" s="85">
        <v>0.1</v>
      </c>
      <c r="I80" s="85">
        <v>0.1</v>
      </c>
      <c r="J80" s="85">
        <v>0.1</v>
      </c>
      <c r="K80" s="85">
        <v>0.1</v>
      </c>
      <c r="L80" s="85">
        <v>0.1</v>
      </c>
      <c r="M80" s="85">
        <v>0.1</v>
      </c>
    </row>
    <row r="81" spans="1:13" x14ac:dyDescent="0.25">
      <c r="A81" s="268" t="s">
        <v>151</v>
      </c>
      <c r="B81" s="294">
        <f t="shared" ref="B81:M81" si="49">+B79*B80</f>
        <v>2.05095E-2</v>
      </c>
      <c r="C81" s="294">
        <f t="shared" si="49"/>
        <v>7.1783249999999993E-2</v>
      </c>
      <c r="D81" s="294">
        <f t="shared" si="49"/>
        <v>7.1783249999999993E-2</v>
      </c>
      <c r="E81" s="294">
        <f t="shared" si="49"/>
        <v>7.1783249999999993E-2</v>
      </c>
      <c r="F81" s="294">
        <f t="shared" si="49"/>
        <v>7.1783249999999993E-2</v>
      </c>
      <c r="G81" s="294">
        <f t="shared" si="49"/>
        <v>2.05095E-2</v>
      </c>
      <c r="H81" s="294">
        <f t="shared" si="49"/>
        <v>2.05095E-2</v>
      </c>
      <c r="I81" s="294">
        <f t="shared" si="49"/>
        <v>2.05095E-2</v>
      </c>
      <c r="J81" s="294">
        <f t="shared" si="49"/>
        <v>2.05095E-2</v>
      </c>
      <c r="K81" s="294">
        <f t="shared" si="49"/>
        <v>2.05095E-2</v>
      </c>
      <c r="L81" s="294">
        <f t="shared" si="49"/>
        <v>2.05095E-2</v>
      </c>
      <c r="M81" s="294">
        <f t="shared" si="49"/>
        <v>2.05095E-2</v>
      </c>
    </row>
    <row r="82" spans="1:13" x14ac:dyDescent="0.25">
      <c r="A82" s="268" t="s">
        <v>152</v>
      </c>
      <c r="B82" s="85">
        <v>0.35</v>
      </c>
      <c r="C82" s="85">
        <v>0.35</v>
      </c>
      <c r="D82" s="85">
        <v>0.35</v>
      </c>
      <c r="E82" s="85">
        <v>0.35</v>
      </c>
      <c r="F82" s="85">
        <v>0.35</v>
      </c>
      <c r="G82" s="85">
        <v>0.35</v>
      </c>
      <c r="H82" s="85">
        <v>0.35</v>
      </c>
      <c r="I82" s="85">
        <v>0.35</v>
      </c>
      <c r="J82" s="85">
        <v>0.35</v>
      </c>
      <c r="K82" s="85">
        <v>0.35</v>
      </c>
      <c r="L82" s="85">
        <v>0.35</v>
      </c>
      <c r="M82" s="85">
        <v>0.35</v>
      </c>
    </row>
    <row r="83" spans="1:13" x14ac:dyDescent="0.25">
      <c r="A83" s="295" t="s">
        <v>153</v>
      </c>
      <c r="B83" s="276">
        <f>+B79*B82</f>
        <v>7.1783249999999993E-2</v>
      </c>
      <c r="C83" s="276">
        <f t="shared" ref="C83:M83" si="50">+C79*C82</f>
        <v>7.1783249999999993E-2</v>
      </c>
      <c r="D83" s="276">
        <f t="shared" si="50"/>
        <v>7.1783249999999993E-2</v>
      </c>
      <c r="E83" s="276">
        <f t="shared" si="50"/>
        <v>7.1783249999999993E-2</v>
      </c>
      <c r="F83" s="276">
        <f t="shared" si="50"/>
        <v>7.1783249999999993E-2</v>
      </c>
      <c r="G83" s="276">
        <f t="shared" si="50"/>
        <v>7.1783249999999993E-2</v>
      </c>
      <c r="H83" s="276">
        <f t="shared" si="50"/>
        <v>7.1783249999999993E-2</v>
      </c>
      <c r="I83" s="276">
        <f t="shared" si="50"/>
        <v>7.1783249999999993E-2</v>
      </c>
      <c r="J83" s="276">
        <f t="shared" si="50"/>
        <v>7.1783249999999993E-2</v>
      </c>
      <c r="K83" s="276">
        <f t="shared" si="50"/>
        <v>7.1783249999999993E-2</v>
      </c>
      <c r="L83" s="276">
        <f t="shared" si="50"/>
        <v>7.1783249999999993E-2</v>
      </c>
      <c r="M83" s="276">
        <f t="shared" si="50"/>
        <v>7.1783249999999993E-2</v>
      </c>
    </row>
    <row r="84" spans="1:13" x14ac:dyDescent="0.25">
      <c r="A84" s="296" t="s">
        <v>154</v>
      </c>
      <c r="B84" s="322">
        <v>0</v>
      </c>
      <c r="C84" s="322">
        <v>0</v>
      </c>
      <c r="D84" s="322">
        <v>0</v>
      </c>
      <c r="E84" s="322">
        <v>0</v>
      </c>
      <c r="F84" s="322">
        <v>0</v>
      </c>
      <c r="G84" s="322">
        <v>0</v>
      </c>
      <c r="H84" s="322">
        <v>0</v>
      </c>
      <c r="I84" s="322">
        <v>0</v>
      </c>
      <c r="J84" s="322">
        <v>0</v>
      </c>
      <c r="K84" s="322">
        <v>0</v>
      </c>
      <c r="L84" s="322">
        <v>0</v>
      </c>
      <c r="M84" s="322">
        <v>0</v>
      </c>
    </row>
    <row r="85" spans="1:13" x14ac:dyDescent="0.25">
      <c r="A85" s="297" t="s">
        <v>164</v>
      </c>
      <c r="B85" s="323">
        <v>0.153</v>
      </c>
      <c r="C85" s="323">
        <v>0.153</v>
      </c>
      <c r="D85" s="323">
        <v>0.153</v>
      </c>
      <c r="E85" s="323">
        <v>0.153</v>
      </c>
      <c r="F85" s="323">
        <v>0.153</v>
      </c>
      <c r="G85" s="323">
        <v>0.153</v>
      </c>
      <c r="H85" s="323">
        <v>0.153</v>
      </c>
      <c r="I85" s="323">
        <v>0.153</v>
      </c>
      <c r="J85" s="323">
        <v>0.153</v>
      </c>
      <c r="K85" s="323">
        <v>0.153</v>
      </c>
      <c r="L85" s="323">
        <v>0.153</v>
      </c>
      <c r="M85" s="323">
        <v>0.153</v>
      </c>
    </row>
    <row r="86" spans="1:13" x14ac:dyDescent="0.25">
      <c r="A86" s="298" t="s">
        <v>174</v>
      </c>
      <c r="B86" s="324">
        <v>0</v>
      </c>
      <c r="C86" s="324">
        <v>0</v>
      </c>
      <c r="D86" s="324">
        <v>0</v>
      </c>
      <c r="E86" s="324">
        <v>0</v>
      </c>
      <c r="F86" s="324">
        <v>0</v>
      </c>
      <c r="G86" s="324">
        <v>0</v>
      </c>
      <c r="H86" s="324">
        <v>0</v>
      </c>
      <c r="I86" s="324">
        <v>0</v>
      </c>
      <c r="J86" s="324">
        <v>0</v>
      </c>
      <c r="K86" s="324">
        <v>0</v>
      </c>
      <c r="L86" s="324">
        <v>0</v>
      </c>
      <c r="M86" s="324">
        <v>0</v>
      </c>
    </row>
    <row r="87" spans="1:13" ht="15.75" x14ac:dyDescent="0.25">
      <c r="A87" s="299" t="s">
        <v>155</v>
      </c>
      <c r="B87" s="300" t="str">
        <f>B61</f>
        <v>Jul</v>
      </c>
      <c r="C87" s="300" t="str">
        <f t="shared" ref="C87:M87" si="51">C61</f>
        <v>Aug</v>
      </c>
      <c r="D87" s="300" t="str">
        <f t="shared" si="51"/>
        <v>Sept</v>
      </c>
      <c r="E87" s="300" t="str">
        <f t="shared" si="51"/>
        <v>Oct</v>
      </c>
      <c r="F87" s="300" t="str">
        <f t="shared" si="51"/>
        <v>Nov</v>
      </c>
      <c r="G87" s="300" t="str">
        <f t="shared" si="51"/>
        <v>Dec</v>
      </c>
      <c r="H87" s="300" t="str">
        <f t="shared" si="51"/>
        <v>Jan</v>
      </c>
      <c r="I87" s="300" t="str">
        <f t="shared" si="51"/>
        <v>Feb</v>
      </c>
      <c r="J87" s="300" t="str">
        <f t="shared" si="51"/>
        <v>Mar</v>
      </c>
      <c r="K87" s="300" t="str">
        <f t="shared" si="51"/>
        <v>Apr</v>
      </c>
      <c r="L87" s="300" t="str">
        <f t="shared" si="51"/>
        <v>May</v>
      </c>
      <c r="M87" s="300" t="str">
        <f t="shared" si="51"/>
        <v>Jun</v>
      </c>
    </row>
    <row r="88" spans="1:13" x14ac:dyDescent="0.25">
      <c r="A88" s="301" t="s">
        <v>156</v>
      </c>
      <c r="B88" s="291"/>
      <c r="C88" s="302"/>
      <c r="D88" s="302"/>
      <c r="E88" s="302"/>
      <c r="F88" s="302"/>
      <c r="G88" s="302"/>
      <c r="H88" s="302"/>
      <c r="I88" s="302"/>
      <c r="J88" s="302"/>
      <c r="K88" s="302"/>
      <c r="L88" s="302"/>
      <c r="M88" s="302"/>
    </row>
    <row r="89" spans="1:13" x14ac:dyDescent="0.25">
      <c r="A89" s="245" t="s">
        <v>147</v>
      </c>
      <c r="B89" s="91">
        <v>25</v>
      </c>
      <c r="C89" s="91">
        <v>25</v>
      </c>
      <c r="D89" s="91">
        <v>25</v>
      </c>
      <c r="E89" s="91">
        <v>25</v>
      </c>
      <c r="F89" s="91">
        <v>25</v>
      </c>
      <c r="G89" s="91">
        <v>25</v>
      </c>
      <c r="H89" s="91">
        <v>25</v>
      </c>
      <c r="I89" s="91">
        <v>25</v>
      </c>
      <c r="J89" s="91">
        <v>25</v>
      </c>
      <c r="K89" s="91">
        <v>25</v>
      </c>
      <c r="L89" s="91">
        <v>25</v>
      </c>
      <c r="M89" s="91">
        <v>25</v>
      </c>
    </row>
    <row r="90" spans="1:13" x14ac:dyDescent="0.25">
      <c r="A90" s="245" t="s">
        <v>148</v>
      </c>
      <c r="B90" s="84">
        <v>3729</v>
      </c>
      <c r="C90" s="84">
        <v>3729</v>
      </c>
      <c r="D90" s="84">
        <v>3729</v>
      </c>
      <c r="E90" s="84">
        <v>3729</v>
      </c>
      <c r="F90" s="84">
        <v>3729</v>
      </c>
      <c r="G90" s="84">
        <v>3729</v>
      </c>
      <c r="H90" s="84">
        <v>3729</v>
      </c>
      <c r="I90" s="84">
        <v>3729</v>
      </c>
      <c r="J90" s="84">
        <v>3729</v>
      </c>
      <c r="K90" s="84">
        <v>3729</v>
      </c>
      <c r="L90" s="84">
        <v>3729</v>
      </c>
      <c r="M90" s="84">
        <v>3729</v>
      </c>
    </row>
    <row r="91" spans="1:13" x14ac:dyDescent="0.25">
      <c r="A91" s="245" t="s">
        <v>157</v>
      </c>
      <c r="B91" s="294">
        <f>+B89*B90/1000000</f>
        <v>9.3225000000000002E-2</v>
      </c>
      <c r="C91" s="294">
        <f t="shared" ref="C91:M91" si="52">+C89*C90/1000000</f>
        <v>9.3225000000000002E-2</v>
      </c>
      <c r="D91" s="294">
        <f t="shared" si="52"/>
        <v>9.3225000000000002E-2</v>
      </c>
      <c r="E91" s="294">
        <f t="shared" si="52"/>
        <v>9.3225000000000002E-2</v>
      </c>
      <c r="F91" s="294">
        <f t="shared" si="52"/>
        <v>9.3225000000000002E-2</v>
      </c>
      <c r="G91" s="294">
        <f t="shared" si="52"/>
        <v>9.3225000000000002E-2</v>
      </c>
      <c r="H91" s="294">
        <f t="shared" si="52"/>
        <v>9.3225000000000002E-2</v>
      </c>
      <c r="I91" s="294">
        <f t="shared" si="52"/>
        <v>9.3225000000000002E-2</v>
      </c>
      <c r="J91" s="294">
        <f t="shared" si="52"/>
        <v>9.3225000000000002E-2</v>
      </c>
      <c r="K91" s="294">
        <f t="shared" si="52"/>
        <v>9.3225000000000002E-2</v>
      </c>
      <c r="L91" s="294">
        <f t="shared" si="52"/>
        <v>9.3225000000000002E-2</v>
      </c>
      <c r="M91" s="294">
        <f t="shared" si="52"/>
        <v>9.3225000000000002E-2</v>
      </c>
    </row>
    <row r="92" spans="1:13" x14ac:dyDescent="0.25">
      <c r="A92" s="268" t="s">
        <v>150</v>
      </c>
      <c r="B92" s="86">
        <v>0.1</v>
      </c>
      <c r="C92" s="86">
        <v>0.1</v>
      </c>
      <c r="D92" s="86">
        <v>0.1</v>
      </c>
      <c r="E92" s="86">
        <v>0.1</v>
      </c>
      <c r="F92" s="86">
        <v>0.1</v>
      </c>
      <c r="G92" s="86">
        <v>0.1</v>
      </c>
      <c r="H92" s="86">
        <v>0.1</v>
      </c>
      <c r="I92" s="86">
        <v>0.1</v>
      </c>
      <c r="J92" s="86">
        <v>0.1</v>
      </c>
      <c r="K92" s="86">
        <v>0.1</v>
      </c>
      <c r="L92" s="86">
        <v>0.1</v>
      </c>
      <c r="M92" s="86">
        <v>0.1</v>
      </c>
    </row>
    <row r="93" spans="1:13" x14ac:dyDescent="0.25">
      <c r="A93" s="268" t="s">
        <v>151</v>
      </c>
      <c r="B93" s="294">
        <f t="shared" ref="B93:M93" si="53">+B91*B92</f>
        <v>9.3225000000000009E-3</v>
      </c>
      <c r="C93" s="294">
        <f t="shared" si="53"/>
        <v>9.3225000000000009E-3</v>
      </c>
      <c r="D93" s="294">
        <f t="shared" si="53"/>
        <v>9.3225000000000009E-3</v>
      </c>
      <c r="E93" s="294">
        <f t="shared" si="53"/>
        <v>9.3225000000000009E-3</v>
      </c>
      <c r="F93" s="294">
        <f t="shared" si="53"/>
        <v>9.3225000000000009E-3</v>
      </c>
      <c r="G93" s="294">
        <f t="shared" si="53"/>
        <v>9.3225000000000009E-3</v>
      </c>
      <c r="H93" s="294">
        <f t="shared" si="53"/>
        <v>9.3225000000000009E-3</v>
      </c>
      <c r="I93" s="294">
        <f t="shared" si="53"/>
        <v>9.3225000000000009E-3</v>
      </c>
      <c r="J93" s="294">
        <f t="shared" si="53"/>
        <v>9.3225000000000009E-3</v>
      </c>
      <c r="K93" s="294">
        <f t="shared" si="53"/>
        <v>9.3225000000000009E-3</v>
      </c>
      <c r="L93" s="294">
        <f t="shared" si="53"/>
        <v>9.3225000000000009E-3</v>
      </c>
      <c r="M93" s="294">
        <f t="shared" si="53"/>
        <v>9.3225000000000009E-3</v>
      </c>
    </row>
    <row r="94" spans="1:13" x14ac:dyDescent="0.25">
      <c r="A94" s="268" t="s">
        <v>152</v>
      </c>
      <c r="B94" s="85">
        <v>0.35</v>
      </c>
      <c r="C94" s="85">
        <v>0.35</v>
      </c>
      <c r="D94" s="85">
        <v>0.35</v>
      </c>
      <c r="E94" s="85">
        <v>0.35</v>
      </c>
      <c r="F94" s="85">
        <v>0.35</v>
      </c>
      <c r="G94" s="85">
        <v>0.35</v>
      </c>
      <c r="H94" s="85">
        <v>0.35</v>
      </c>
      <c r="I94" s="85">
        <v>0.35</v>
      </c>
      <c r="J94" s="85">
        <v>0.35</v>
      </c>
      <c r="K94" s="85">
        <v>0.35</v>
      </c>
      <c r="L94" s="85">
        <v>0.35</v>
      </c>
      <c r="M94" s="85">
        <v>0.35</v>
      </c>
    </row>
    <row r="95" spans="1:13" x14ac:dyDescent="0.25">
      <c r="A95" s="295" t="s">
        <v>153</v>
      </c>
      <c r="B95" s="276">
        <f>+B91*B94</f>
        <v>3.2628749999999998E-2</v>
      </c>
      <c r="C95" s="276">
        <f t="shared" ref="C95:M95" si="54">+C91*C94</f>
        <v>3.2628749999999998E-2</v>
      </c>
      <c r="D95" s="276">
        <f t="shared" si="54"/>
        <v>3.2628749999999998E-2</v>
      </c>
      <c r="E95" s="276">
        <f t="shared" si="54"/>
        <v>3.2628749999999998E-2</v>
      </c>
      <c r="F95" s="276">
        <f t="shared" si="54"/>
        <v>3.2628749999999998E-2</v>
      </c>
      <c r="G95" s="276">
        <f t="shared" si="54"/>
        <v>3.2628749999999998E-2</v>
      </c>
      <c r="H95" s="276">
        <f t="shared" si="54"/>
        <v>3.2628749999999998E-2</v>
      </c>
      <c r="I95" s="276">
        <f t="shared" si="54"/>
        <v>3.2628749999999998E-2</v>
      </c>
      <c r="J95" s="276">
        <f t="shared" si="54"/>
        <v>3.2628749999999998E-2</v>
      </c>
      <c r="K95" s="276">
        <f t="shared" si="54"/>
        <v>3.2628749999999998E-2</v>
      </c>
      <c r="L95" s="276">
        <f t="shared" si="54"/>
        <v>3.2628749999999998E-2</v>
      </c>
      <c r="M95" s="276">
        <f t="shared" si="54"/>
        <v>3.2628749999999998E-2</v>
      </c>
    </row>
    <row r="96" spans="1:13" x14ac:dyDescent="0.25">
      <c r="A96" s="303" t="s">
        <v>158</v>
      </c>
      <c r="B96" s="87">
        <v>0.04</v>
      </c>
      <c r="C96" s="87">
        <v>0.04</v>
      </c>
      <c r="D96" s="87">
        <v>0.04</v>
      </c>
      <c r="E96" s="87">
        <v>0.04</v>
      </c>
      <c r="F96" s="87">
        <v>0.04</v>
      </c>
      <c r="G96" s="87">
        <v>0.04</v>
      </c>
      <c r="H96" s="87">
        <v>0.04</v>
      </c>
      <c r="I96" s="87">
        <v>0.04</v>
      </c>
      <c r="J96" s="87">
        <v>0.04</v>
      </c>
      <c r="K96" s="87">
        <v>0.04</v>
      </c>
      <c r="L96" s="87">
        <v>0.04</v>
      </c>
      <c r="M96" s="87">
        <v>0.04</v>
      </c>
    </row>
    <row r="97" spans="1:13" x14ac:dyDescent="0.25">
      <c r="A97" s="304" t="s">
        <v>172</v>
      </c>
      <c r="B97" s="294">
        <f>+B56*B96/1000000</f>
        <v>4.3830439918042675E-2</v>
      </c>
      <c r="C97" s="294">
        <f t="shared" ref="C97:M97" si="55">+C56*C96/1000000</f>
        <v>3.7157957195807272E-2</v>
      </c>
      <c r="D97" s="294">
        <f t="shared" si="55"/>
        <v>3.9572462649461342E-2</v>
      </c>
      <c r="E97" s="294">
        <f t="shared" si="55"/>
        <v>3.9863450295603148E-2</v>
      </c>
      <c r="F97" s="294">
        <f t="shared" si="55"/>
        <v>3.9879568097777429E-2</v>
      </c>
      <c r="G97" s="294">
        <f t="shared" si="55"/>
        <v>3.9895498781006927E-2</v>
      </c>
      <c r="H97" s="294">
        <f t="shared" si="55"/>
        <v>3.9911245585010205E-2</v>
      </c>
      <c r="I97" s="294">
        <f t="shared" si="55"/>
        <v>4.0424474487838577E-2</v>
      </c>
      <c r="J97" s="294">
        <f t="shared" si="55"/>
        <v>6.4769015268932723E-2</v>
      </c>
      <c r="K97" s="294">
        <f t="shared" si="55"/>
        <v>6.4769015268932723E-2</v>
      </c>
      <c r="L97" s="294">
        <f t="shared" si="55"/>
        <v>6.4769015268932723E-2</v>
      </c>
      <c r="M97" s="294">
        <f t="shared" si="55"/>
        <v>6.4769015268932723E-2</v>
      </c>
    </row>
    <row r="98" spans="1:13" x14ac:dyDescent="0.25">
      <c r="A98" s="297" t="s">
        <v>145</v>
      </c>
      <c r="B98" s="87">
        <v>8.5000000000000006E-2</v>
      </c>
      <c r="C98" s="87">
        <v>8.5000000000000006E-2</v>
      </c>
      <c r="D98" s="87">
        <v>8.5000000000000006E-2</v>
      </c>
      <c r="E98" s="87">
        <v>8.5000000000000006E-2</v>
      </c>
      <c r="F98" s="87">
        <v>8.5000000000000006E-2</v>
      </c>
      <c r="G98" s="87">
        <v>8.5000000000000006E-2</v>
      </c>
      <c r="H98" s="87">
        <v>8.5000000000000006E-2</v>
      </c>
      <c r="I98" s="87">
        <v>8.5000000000000006E-2</v>
      </c>
      <c r="J98" s="87">
        <v>8.5000000000000006E-2</v>
      </c>
      <c r="K98" s="87">
        <v>8.5000000000000006E-2</v>
      </c>
      <c r="L98" s="87">
        <v>8.5000000000000006E-2</v>
      </c>
      <c r="M98" s="87">
        <v>8.5000000000000006E-2</v>
      </c>
    </row>
    <row r="99" spans="1:13" x14ac:dyDescent="0.25">
      <c r="A99" s="297" t="s">
        <v>159</v>
      </c>
      <c r="B99" s="87">
        <v>0.19400000000000001</v>
      </c>
      <c r="C99" s="87">
        <v>0.19400000000000001</v>
      </c>
      <c r="D99" s="87">
        <v>0.19400000000000001</v>
      </c>
      <c r="E99" s="87">
        <v>0.19400000000000001</v>
      </c>
      <c r="F99" s="87">
        <v>0.19400000000000001</v>
      </c>
      <c r="G99" s="87">
        <v>0.19400000000000001</v>
      </c>
      <c r="H99" s="87">
        <v>0.19400000000000001</v>
      </c>
      <c r="I99" s="87">
        <v>0.19400000000000001</v>
      </c>
      <c r="J99" s="87">
        <v>0.19400000000000001</v>
      </c>
      <c r="K99" s="87">
        <v>0.19400000000000001</v>
      </c>
      <c r="L99" s="87">
        <v>0.19400000000000001</v>
      </c>
      <c r="M99" s="87">
        <v>0.19400000000000001</v>
      </c>
    </row>
    <row r="100" spans="1:13" x14ac:dyDescent="0.25">
      <c r="A100" s="296" t="s">
        <v>160</v>
      </c>
      <c r="B100" s="87">
        <v>0.11</v>
      </c>
      <c r="C100" s="87">
        <v>0.11</v>
      </c>
      <c r="D100" s="87">
        <v>0.11</v>
      </c>
      <c r="E100" s="87">
        <v>0.11</v>
      </c>
      <c r="F100" s="87">
        <v>0.11</v>
      </c>
      <c r="G100" s="87">
        <v>0.11</v>
      </c>
      <c r="H100" s="87">
        <v>0.11</v>
      </c>
      <c r="I100" s="87">
        <v>0.11</v>
      </c>
      <c r="J100" s="87">
        <v>0.11</v>
      </c>
      <c r="K100" s="87">
        <v>0.11</v>
      </c>
      <c r="L100" s="87">
        <v>0.11</v>
      </c>
      <c r="M100" s="87">
        <v>0.11</v>
      </c>
    </row>
    <row r="101" spans="1:13" x14ac:dyDescent="0.25">
      <c r="A101" s="305" t="s">
        <v>161</v>
      </c>
      <c r="B101" s="306">
        <f>B91+B97+B98+B99+B100</f>
        <v>0.52605543991804271</v>
      </c>
      <c r="C101" s="306">
        <f t="shared" ref="C101:M101" si="56">C91+C97+C98+C99+C100</f>
        <v>0.51938295719580729</v>
      </c>
      <c r="D101" s="306">
        <f t="shared" si="56"/>
        <v>0.52179746264946136</v>
      </c>
      <c r="E101" s="306">
        <f t="shared" si="56"/>
        <v>0.52208845029560313</v>
      </c>
      <c r="F101" s="306">
        <f t="shared" si="56"/>
        <v>0.5221045680977775</v>
      </c>
      <c r="G101" s="306">
        <f t="shared" si="56"/>
        <v>0.52212049878100697</v>
      </c>
      <c r="H101" s="306">
        <f t="shared" si="56"/>
        <v>0.52213624558501026</v>
      </c>
      <c r="I101" s="306">
        <f t="shared" si="56"/>
        <v>0.52264947448783861</v>
      </c>
      <c r="J101" s="306">
        <f t="shared" si="56"/>
        <v>0.54699401526893277</v>
      </c>
      <c r="K101" s="306">
        <f t="shared" si="56"/>
        <v>0.54699401526893277</v>
      </c>
      <c r="L101" s="306">
        <f t="shared" si="56"/>
        <v>0.54699401526893277</v>
      </c>
      <c r="M101" s="306">
        <f t="shared" si="56"/>
        <v>0.54699401526893277</v>
      </c>
    </row>
    <row r="102" spans="1:13" x14ac:dyDescent="0.25">
      <c r="A102" s="248" t="s">
        <v>162</v>
      </c>
      <c r="B102" s="307">
        <f>B101/B56*1000000</f>
        <v>0.48008228153922178</v>
      </c>
      <c r="C102" s="307">
        <f t="shared" ref="C102:M102" si="57">C101/C56*1000000</f>
        <v>0.55910819258321554</v>
      </c>
      <c r="D102" s="307">
        <f t="shared" si="57"/>
        <v>0.52743491581165369</v>
      </c>
      <c r="E102" s="307">
        <f t="shared" si="57"/>
        <v>0.52387683095578741</v>
      </c>
      <c r="F102" s="307">
        <f t="shared" si="57"/>
        <v>0.52368126637447254</v>
      </c>
      <c r="G102" s="307">
        <f t="shared" si="57"/>
        <v>0.52348812746722517</v>
      </c>
      <c r="H102" s="307">
        <f t="shared" si="57"/>
        <v>0.52329736938214066</v>
      </c>
      <c r="I102" s="307">
        <f t="shared" si="57"/>
        <v>0.51716142867368542</v>
      </c>
      <c r="J102" s="307">
        <f t="shared" si="57"/>
        <v>0.33781215477660992</v>
      </c>
      <c r="K102" s="307">
        <f t="shared" si="57"/>
        <v>0.33781215477660992</v>
      </c>
      <c r="L102" s="307">
        <f t="shared" si="57"/>
        <v>0.33781215477660992</v>
      </c>
      <c r="M102" s="307">
        <f t="shared" si="57"/>
        <v>0.33781215477660992</v>
      </c>
    </row>
    <row r="103" spans="1:13" x14ac:dyDescent="0.25">
      <c r="A103" s="308" t="s">
        <v>177</v>
      </c>
      <c r="B103" s="325">
        <v>0.1</v>
      </c>
      <c r="C103" s="325">
        <v>0.1</v>
      </c>
      <c r="D103" s="325">
        <v>0.1</v>
      </c>
      <c r="E103" s="325">
        <v>0.1</v>
      </c>
      <c r="F103" s="325">
        <v>0.1</v>
      </c>
      <c r="G103" s="325">
        <v>0.1</v>
      </c>
      <c r="H103" s="325">
        <v>0.1</v>
      </c>
      <c r="I103" s="325">
        <v>0.1</v>
      </c>
      <c r="J103" s="325">
        <v>0.1</v>
      </c>
      <c r="K103" s="325">
        <v>0.1</v>
      </c>
      <c r="L103" s="325">
        <v>0.1</v>
      </c>
      <c r="M103" s="325">
        <v>0.1</v>
      </c>
    </row>
    <row r="105" spans="1:13" ht="18.75" x14ac:dyDescent="0.3">
      <c r="A105" s="309" t="s">
        <v>165</v>
      </c>
    </row>
    <row r="106" spans="1:13" x14ac:dyDescent="0.25">
      <c r="A106" s="310" t="s">
        <v>183</v>
      </c>
    </row>
    <row r="107" spans="1:13" x14ac:dyDescent="0.25">
      <c r="A107" s="311" t="s">
        <v>166</v>
      </c>
    </row>
  </sheetData>
  <sheetProtection algorithmName="SHA-512" hashValue="5ob0kUeUyKKvmm3t9CjKZ8QRes04LuYSWJHWES8lS/9XBsV2byUqm3WlMJLbI8QV0Bsjwcs5YNO+bHlzNa0vKQ==" saltValue="KKKEFYbSRh779YHI93Fiy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932A0-1AD2-4B79-8D43-B124887F9764}">
  <dimension ref="A1:B36"/>
  <sheetViews>
    <sheetView workbookViewId="0">
      <selection activeCell="A5" sqref="A5"/>
    </sheetView>
  </sheetViews>
  <sheetFormatPr defaultColWidth="9.140625" defaultRowHeight="15" x14ac:dyDescent="0.25"/>
  <cols>
    <col min="1" max="1" width="4.7109375" style="28" customWidth="1"/>
    <col min="2" max="16384" width="9.140625" style="28"/>
  </cols>
  <sheetData>
    <row r="1" spans="1:2" x14ac:dyDescent="0.25">
      <c r="A1" s="29">
        <v>1</v>
      </c>
      <c r="B1" s="29" t="s">
        <v>34</v>
      </c>
    </row>
    <row r="2" spans="1:2" x14ac:dyDescent="0.25">
      <c r="A2" s="29">
        <v>2</v>
      </c>
      <c r="B2" s="29" t="s">
        <v>35</v>
      </c>
    </row>
    <row r="3" spans="1:2" x14ac:dyDescent="0.25">
      <c r="A3" s="29">
        <v>3</v>
      </c>
      <c r="B3" s="29" t="s">
        <v>36</v>
      </c>
    </row>
    <row r="4" spans="1:2" x14ac:dyDescent="0.25">
      <c r="A4" s="29">
        <v>4</v>
      </c>
      <c r="B4" s="29" t="s">
        <v>37</v>
      </c>
    </row>
    <row r="5" spans="1:2" x14ac:dyDescent="0.25">
      <c r="A5" s="29">
        <v>5</v>
      </c>
      <c r="B5" s="29" t="s">
        <v>38</v>
      </c>
    </row>
    <row r="6" spans="1:2" x14ac:dyDescent="0.25">
      <c r="A6" s="29">
        <v>6</v>
      </c>
      <c r="B6" s="29" t="s">
        <v>39</v>
      </c>
    </row>
    <row r="7" spans="1:2" x14ac:dyDescent="0.25">
      <c r="A7" s="29">
        <v>7</v>
      </c>
      <c r="B7" s="29" t="s">
        <v>46</v>
      </c>
    </row>
    <row r="8" spans="1:2" x14ac:dyDescent="0.25">
      <c r="A8" s="29">
        <v>8</v>
      </c>
      <c r="B8" s="29" t="s">
        <v>47</v>
      </c>
    </row>
    <row r="9" spans="1:2" x14ac:dyDescent="0.25">
      <c r="A9" s="29">
        <v>9</v>
      </c>
      <c r="B9" s="29" t="s">
        <v>51</v>
      </c>
    </row>
    <row r="10" spans="1:2" x14ac:dyDescent="0.25">
      <c r="A10" s="29">
        <v>10</v>
      </c>
      <c r="B10" s="29" t="s">
        <v>48</v>
      </c>
    </row>
    <row r="11" spans="1:2" x14ac:dyDescent="0.25">
      <c r="A11" s="29">
        <v>11</v>
      </c>
      <c r="B11" s="29" t="s">
        <v>49</v>
      </c>
    </row>
    <row r="12" spans="1:2" x14ac:dyDescent="0.25">
      <c r="A12" s="29">
        <v>12</v>
      </c>
      <c r="B12" s="29" t="s">
        <v>42</v>
      </c>
    </row>
    <row r="13" spans="1:2" x14ac:dyDescent="0.25">
      <c r="A13" s="29">
        <v>13</v>
      </c>
      <c r="B13" s="29" t="s">
        <v>34</v>
      </c>
    </row>
    <row r="14" spans="1:2" x14ac:dyDescent="0.25">
      <c r="A14" s="29">
        <v>14</v>
      </c>
      <c r="B14" s="29" t="s">
        <v>35</v>
      </c>
    </row>
    <row r="15" spans="1:2" x14ac:dyDescent="0.25">
      <c r="A15" s="29">
        <v>15</v>
      </c>
      <c r="B15" s="29" t="s">
        <v>36</v>
      </c>
    </row>
    <row r="16" spans="1:2" x14ac:dyDescent="0.25">
      <c r="A16" s="29">
        <v>16</v>
      </c>
      <c r="B16" s="29" t="s">
        <v>37</v>
      </c>
    </row>
    <row r="17" spans="1:2" x14ac:dyDescent="0.25">
      <c r="A17" s="29">
        <v>17</v>
      </c>
      <c r="B17" s="29" t="s">
        <v>38</v>
      </c>
    </row>
    <row r="18" spans="1:2" x14ac:dyDescent="0.25">
      <c r="A18" s="29">
        <v>18</v>
      </c>
      <c r="B18" s="29" t="s">
        <v>39</v>
      </c>
    </row>
    <row r="19" spans="1:2" x14ac:dyDescent="0.25">
      <c r="A19" s="29">
        <v>19</v>
      </c>
      <c r="B19" s="29" t="s">
        <v>46</v>
      </c>
    </row>
    <row r="20" spans="1:2" x14ac:dyDescent="0.25">
      <c r="A20" s="29">
        <v>20</v>
      </c>
      <c r="B20" s="29" t="s">
        <v>47</v>
      </c>
    </row>
    <row r="21" spans="1:2" x14ac:dyDescent="0.25">
      <c r="A21" s="29">
        <v>21</v>
      </c>
      <c r="B21" s="29" t="s">
        <v>51</v>
      </c>
    </row>
    <row r="22" spans="1:2" x14ac:dyDescent="0.25">
      <c r="A22" s="29">
        <v>22</v>
      </c>
      <c r="B22" s="29" t="s">
        <v>48</v>
      </c>
    </row>
    <row r="23" spans="1:2" x14ac:dyDescent="0.25">
      <c r="A23" s="29">
        <v>23</v>
      </c>
      <c r="B23" s="29" t="s">
        <v>49</v>
      </c>
    </row>
    <row r="24" spans="1:2" x14ac:dyDescent="0.25">
      <c r="A24" s="29">
        <v>24</v>
      </c>
      <c r="B24" s="29" t="s">
        <v>42</v>
      </c>
    </row>
    <row r="25" spans="1:2" x14ac:dyDescent="0.25">
      <c r="A25" s="29">
        <v>25</v>
      </c>
      <c r="B25" s="29" t="s">
        <v>34</v>
      </c>
    </row>
    <row r="26" spans="1:2" x14ac:dyDescent="0.25">
      <c r="A26" s="29">
        <v>26</v>
      </c>
      <c r="B26" s="29" t="s">
        <v>35</v>
      </c>
    </row>
    <row r="27" spans="1:2" x14ac:dyDescent="0.25">
      <c r="A27" s="29">
        <v>27</v>
      </c>
      <c r="B27" s="29" t="s">
        <v>36</v>
      </c>
    </row>
    <row r="28" spans="1:2" x14ac:dyDescent="0.25">
      <c r="A28" s="29">
        <v>28</v>
      </c>
      <c r="B28" s="29" t="s">
        <v>37</v>
      </c>
    </row>
    <row r="29" spans="1:2" x14ac:dyDescent="0.25">
      <c r="A29" s="29">
        <v>29</v>
      </c>
      <c r="B29" s="29" t="s">
        <v>38</v>
      </c>
    </row>
    <row r="30" spans="1:2" x14ac:dyDescent="0.25">
      <c r="A30" s="29">
        <v>30</v>
      </c>
      <c r="B30" s="29" t="s">
        <v>39</v>
      </c>
    </row>
    <row r="31" spans="1:2" x14ac:dyDescent="0.25">
      <c r="B31" s="29"/>
    </row>
    <row r="32" spans="1:2" x14ac:dyDescent="0.25">
      <c r="B32" s="29"/>
    </row>
    <row r="33" spans="2:2" x14ac:dyDescent="0.25">
      <c r="B33" s="29"/>
    </row>
    <row r="34" spans="2:2" x14ac:dyDescent="0.25">
      <c r="B34" s="29"/>
    </row>
    <row r="35" spans="2:2" x14ac:dyDescent="0.25">
      <c r="B35" s="29"/>
    </row>
    <row r="36" spans="2:2" x14ac:dyDescent="0.25">
      <c r="B36" s="29"/>
    </row>
  </sheetData>
  <sheetProtection algorithmName="SHA-512" hashValue="WOXFB6Vp/EOusMivJOquMy+jEnMm4xjIfnMjr+1hzVuL8MTgQEtM2tOovUw2DD4kK6V7AqgJf8mmgcmmuSTpzg==" saltValue="VLUnq5svDwy5IyKh5AsfXQ==" spinCount="100000" sheet="1" objects="1" scenarios="1"/>
  <phoneticPr fontId="11"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Authors xmlns="b99a068c-3844-4a16-badd-77233eea0529" xsi:nil="true"/>
    <Authors xmlns="b99a068c-3844-4a16-badd-77233eea0529">
      <UserInfo>
        <DisplayName/>
        <AccountId xsi:nil="true"/>
        <AccountType/>
      </UserInfo>
    </Authors>
    <Cordis_x0020_ID xmlns="b99a068c-3844-4a16-badd-77233eea0529">ITM00270</Cordis_x0020_ID>
    <Stage xmlns="b99a068c-3844-4a16-badd-77233eea0529">IMP</Stage>
    <PolicyExceptions xmlns="b99a068c-3844-4a16-badd-77233eea0529" xsi:nil="true"/>
    <IsTemplate xmlns="b99a068c-3844-4a16-badd-77233eea0529">false</IsTemplate>
    <HasUserUploaded xmlns="b99a068c-3844-4a16-badd-77233eea0529">true</HasUserUploaded>
    <DocumentDate xmlns="b99a068c-3844-4a16-badd-77233eea0529">2020-06-19T04:00:00+00:00</DocumentDate>
    <WBDocType xmlns="b99a068c-3844-4a16-badd-77233eea0529">Report</WBDocType>
    <SecurityClassification xmlns="b99a068c-3844-4a16-badd-77233eea0529">Public</SecurityClassification>
    <DeliverableID xmlns="b99a068c-3844-4a16-badd-77233eea0529">DLV0395322</DeliverableID>
    <ProjectID xmlns="b99a068c-3844-4a16-badd-77233eea0529">P165586</ProjectID>
    <Task_x0020_ID xmlns="b99a068c-3844-4a16-badd-77233eea0529" xsi:nil="true"/>
    <Package xmlns="b99a068c-3844-4a16-badd-77233eea0529">true</Package>
    <TemplateDocVersion xmlns="b99a068c-3844-4a16-badd-77233eea0529" xsi:nil="true"/>
    <SequenceNum xmlns="b99a068c-3844-4a16-badd-77233eea0529" xsi:nil="true"/>
    <RefreshDate xmlns="b99a068c-3844-4a16-badd-77233eea0529" xsi:nil="true"/>
    <IsMandatory xmlns="b99a068c-3844-4a16-badd-77233eea0529">false</IsMandatory>
    <SortOrder xmlns="b99a068c-3844-4a16-badd-77233eea0529" xsi:nil="true"/>
    <IsHidden xmlns="b99a068c-3844-4a16-badd-77233eea0529">false</IsHidden>
    <AttachmentType xmlns="b99a068c-3844-4a16-badd-77233eea0529" xsi:nil="true"/>
    <DisclosedVersion xmlns="b99a068c-3844-4a16-badd-77233eea0529" xsi:nil="true"/>
    <DocumentType xmlns="b99a068c-3844-4a16-badd-77233eea0529" xsi:nil="true"/>
    <ApprovedVersion xmlns="b99a068c-3844-4a16-badd-77233eea0529" xsi:nil="true"/>
    <DocStatus xmlns="b99a068c-3844-4a16-badd-77233eea0529" xsi:nil="true"/>
    <DependentDoc xmlns="b99a068c-3844-4a16-badd-77233eea0529" xsi:nil="true"/>
    <SAPStage xmlns="b99a068c-3844-4a16-badd-77233eea0529" xsi:nil="true"/>
    <LockStatus xmlns="b99a068c-3844-4a16-badd-77233eea0529" xsi:nil="true"/>
    <Abstract xmlns="b99a068c-3844-4a16-badd-77233eea0529" xsi:nil="true"/>
    <DocumentAction xmlns="b99a068c-3844-4a16-badd-77233eea05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BOpsProjectDoc" ma:contentTypeID="0x01010054E0FEF4951F9D49A6F48A35419983C700C5AFB85B3DBACF448E10A0B813637CDD" ma:contentTypeVersion="3" ma:contentTypeDescription="" ma:contentTypeScope="" ma:versionID="ce32f4c2e5bb0bd77f3bca840ff21b6f">
  <xsd:schema xmlns:xsd="http://www.w3.org/2001/XMLSchema" xmlns:xs="http://www.w3.org/2001/XMLSchema" xmlns:p="http://schemas.microsoft.com/office/2006/metadata/properties" xmlns:ns2="b99a068c-3844-4a16-badd-77233eea0529" targetNamespace="http://schemas.microsoft.com/office/2006/metadata/properties" ma:root="true" ma:fieldsID="fda24a9677bb9d21e2f1b3e6e3d6658a" ns2:_="">
    <xsd:import namespace="b99a068c-3844-4a16-badd-77233eea0529"/>
    <xsd:element name="properties">
      <xsd:complexType>
        <xsd:sequence>
          <xsd:element name="documentManagement">
            <xsd:complexType>
              <xsd:all>
                <xsd:element ref="ns2:ProjectID" minOccurs="0"/>
                <xsd:element ref="ns2:Stage" minOccurs="0"/>
                <xsd:element ref="ns2:Package" minOccurs="0"/>
                <xsd:element ref="ns2:DocumentType" minOccurs="0"/>
                <xsd:element ref="ns2:SortOrder" minOccurs="0"/>
                <xsd:element ref="ns2:AttachmentType" minOccurs="0"/>
                <xsd:element ref="ns2:Abstract" minOccurs="0"/>
                <xsd:element ref="ns2:SecurityClassification" minOccurs="0"/>
                <xsd:element ref="ns2:Cordis_x0020_ID" minOccurs="0"/>
                <xsd:element ref="ns2:Task_x0020_ID" minOccurs="0"/>
                <xsd:element ref="ns2:DependentDoc" minOccurs="0"/>
                <xsd:element ref="ns2:DeliverableID" minOccurs="0"/>
                <xsd:element ref="ns2:RefreshDate" minOccurs="0"/>
                <xsd:element ref="ns2:DocStatus" minOccurs="0"/>
                <xsd:element ref="ns2:ApprovedVersion" minOccurs="0"/>
                <xsd:element ref="ns2:DisclosedVersion" minOccurs="0"/>
                <xsd:element ref="ns2:HasUserUploaded" minOccurs="0"/>
                <xsd:element ref="ns2:IsMandatory" minOccurs="0"/>
                <xsd:element ref="ns2:IsTemplate" minOccurs="0"/>
                <xsd:element ref="ns2:SAPStage" minOccurs="0"/>
                <xsd:element ref="ns2:Authors" minOccurs="0"/>
                <xsd:element ref="ns2:DocAuthors" minOccurs="0"/>
                <xsd:element ref="ns2:DocumentDate" minOccurs="0"/>
                <xsd:element ref="ns2:PolicyExceptions" minOccurs="0"/>
                <xsd:element ref="ns2:WBDocType" minOccurs="0"/>
                <xsd:element ref="ns2:LockStatus" minOccurs="0"/>
                <xsd:element ref="ns2:DocumentAction" minOccurs="0"/>
                <xsd:element ref="ns2:IsHidden" minOccurs="0"/>
                <xsd:element ref="ns2:TemplateDocVersion" minOccurs="0"/>
                <xsd:element ref="ns2:SequenceN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a068c-3844-4a16-badd-77233eea0529" elementFormDefault="qualified">
    <xsd:import namespace="http://schemas.microsoft.com/office/2006/documentManagement/types"/>
    <xsd:import namespace="http://schemas.microsoft.com/office/infopath/2007/PartnerControls"/>
    <xsd:element name="ProjectID" ma:index="8" nillable="true" ma:displayName="ProjectID" ma:internalName="ProjectID">
      <xsd:simpleType>
        <xsd:restriction base="dms:Text">
          <xsd:maxLength value="255"/>
        </xsd:restriction>
      </xsd:simpleType>
    </xsd:element>
    <xsd:element name="Stage" ma:index="9" nillable="true" ma:displayName="Stage" ma:internalName="Stage">
      <xsd:simpleType>
        <xsd:restriction base="dms:Text">
          <xsd:maxLength value="255"/>
        </xsd:restriction>
      </xsd:simpleType>
    </xsd:element>
    <xsd:element name="Package" ma:index="10" nillable="true" ma:displayName="Package" ma:default="1" ma:internalName="Package">
      <xsd:simpleType>
        <xsd:restriction base="dms:Boolean"/>
      </xsd:simpleType>
    </xsd:element>
    <xsd:element name="DocumentType" ma:index="11" nillable="true" ma:displayName="DocumentType" ma:internalName="DocumentType">
      <xsd:simpleType>
        <xsd:restriction base="dms:Text">
          <xsd:maxLength value="255"/>
        </xsd:restriction>
      </xsd:simpleType>
    </xsd:element>
    <xsd:element name="SortOrder" ma:index="12" nillable="true" ma:displayName="SortOrder" ma:internalName="SortOrder">
      <xsd:simpleType>
        <xsd:restriction base="dms:Number"/>
      </xsd:simpleType>
    </xsd:element>
    <xsd:element name="AttachmentType" ma:index="13" nillable="true" ma:displayName="AttachmentType" ma:internalName="AttachmentType">
      <xsd:simpleType>
        <xsd:restriction base="dms:Text">
          <xsd:maxLength value="255"/>
        </xsd:restriction>
      </xsd:simpleType>
    </xsd:element>
    <xsd:element name="Abstract" ma:index="14" nillable="true" ma:displayName="Abstract" ma:internalName="Abstract">
      <xsd:simpleType>
        <xsd:restriction base="dms:Note"/>
      </xsd:simpleType>
    </xsd:element>
    <xsd:element name="SecurityClassification" ma:index="15" nillable="true" ma:displayName="SecurityClassification" ma:format="Dropdown" ma:internalName="SecurityClassification">
      <xsd:simpleType>
        <xsd:restriction base="dms:Choice">
          <xsd:enumeration value="Official use only"/>
          <xsd:enumeration value="Public"/>
        </xsd:restriction>
      </xsd:simpleType>
    </xsd:element>
    <xsd:element name="Cordis_x0020_ID" ma:index="16" nillable="true" ma:displayName="Cordis ID" ma:internalName="Cordis_x0020_ID">
      <xsd:simpleType>
        <xsd:restriction base="dms:Note"/>
      </xsd:simpleType>
    </xsd:element>
    <xsd:element name="Task_x0020_ID" ma:index="17" nillable="true" ma:displayName="Task ID" ma:internalName="Task_x0020_ID">
      <xsd:simpleType>
        <xsd:restriction base="dms:Note"/>
      </xsd:simpleType>
    </xsd:element>
    <xsd:element name="DependentDoc" ma:index="18" nillable="true" ma:displayName="DependentDoc" ma:internalName="DependentDoc">
      <xsd:simpleType>
        <xsd:restriction base="dms:Note"/>
      </xsd:simpleType>
    </xsd:element>
    <xsd:element name="DeliverableID" ma:index="19" nillable="true" ma:displayName="DeliverableID" ma:internalName="DeliverableID">
      <xsd:simpleType>
        <xsd:restriction base="dms:Note"/>
      </xsd:simpleType>
    </xsd:element>
    <xsd:element name="RefreshDate" ma:index="20" nillable="true" ma:displayName="RefreshDate" ma:format="DateTime" ma:internalName="RefreshDate">
      <xsd:simpleType>
        <xsd:restriction base="dms:DateTime"/>
      </xsd:simpleType>
    </xsd:element>
    <xsd:element name="DocStatus" ma:index="21" nillable="true" ma:displayName="DocStatus" ma:internalName="DocStatus">
      <xsd:simpleType>
        <xsd:restriction base="dms:Text">
          <xsd:maxLength value="255"/>
        </xsd:restriction>
      </xsd:simpleType>
    </xsd:element>
    <xsd:element name="ApprovedVersion" ma:index="22" nillable="true" ma:displayName="ApprovedVersion" ma:internalName="ApprovedVersion">
      <xsd:simpleType>
        <xsd:restriction base="dms:Text">
          <xsd:maxLength value="255"/>
        </xsd:restriction>
      </xsd:simpleType>
    </xsd:element>
    <xsd:element name="DisclosedVersion" ma:index="23" nillable="true" ma:displayName="DisclosedVersion" ma:internalName="DisclosedVersion">
      <xsd:simpleType>
        <xsd:restriction base="dms:Note"/>
      </xsd:simpleType>
    </xsd:element>
    <xsd:element name="HasUserUploaded" ma:index="24" nillable="true" ma:displayName="HasUserUploaded" ma:default="0" ma:internalName="HasUserUploaded">
      <xsd:simpleType>
        <xsd:restriction base="dms:Boolean"/>
      </xsd:simpleType>
    </xsd:element>
    <xsd:element name="IsMandatory" ma:index="25" nillable="true" ma:displayName="IsMandatory" ma:default="0" ma:internalName="IsMandatory">
      <xsd:simpleType>
        <xsd:restriction base="dms:Boolean"/>
      </xsd:simpleType>
    </xsd:element>
    <xsd:element name="IsTemplate" ma:index="26" nillable="true" ma:displayName="IsTemplate" ma:default="0" ma:internalName="IsTemplate">
      <xsd:simpleType>
        <xsd:restriction base="dms:Boolean"/>
      </xsd:simpleType>
    </xsd:element>
    <xsd:element name="SAPStage" ma:index="27" nillable="true" ma:displayName="SAPStage" ma:internalName="SAPStage">
      <xsd:simpleType>
        <xsd:restriction base="dms:Text">
          <xsd:maxLength value="255"/>
        </xsd:restriction>
      </xsd:simpleType>
    </xsd:element>
    <xsd:element name="Authors" ma:index="28" nillable="true" ma:displayName="Authors" ma:list="UserInfo" ma:SharePointGroup="0" ma:internalName="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Authors" ma:index="29" nillable="true" ma:displayName="DocAuthors" ma:internalName="DocAuthors">
      <xsd:simpleType>
        <xsd:restriction base="dms:Note">
          <xsd:maxLength value="255"/>
        </xsd:restriction>
      </xsd:simpleType>
    </xsd:element>
    <xsd:element name="DocumentDate" ma:index="30" nillable="true" ma:displayName="DocumentDate" ma:format="DateOnly" ma:internalName="DocumentDate">
      <xsd:simpleType>
        <xsd:restriction base="dms:DateTime"/>
      </xsd:simpleType>
    </xsd:element>
    <xsd:element name="PolicyExceptions" ma:index="31" nillable="true" ma:displayName="PolicyExceptions" ma:internalName="PolicyExceptions">
      <xsd:simpleType>
        <xsd:restriction base="dms:Note">
          <xsd:maxLength value="255"/>
        </xsd:restriction>
      </xsd:simpleType>
    </xsd:element>
    <xsd:element name="WBDocType" ma:index="32" nillable="true" ma:displayName="WBDocType" ma:internalName="WBDocType">
      <xsd:simpleType>
        <xsd:restriction base="dms:Text">
          <xsd:maxLength value="255"/>
        </xsd:restriction>
      </xsd:simpleType>
    </xsd:element>
    <xsd:element name="LockStatus" ma:index="33" nillable="true" ma:displayName="LockStatus" ma:internalName="LockStatus">
      <xsd:simpleType>
        <xsd:restriction base="dms:Text">
          <xsd:maxLength value="255"/>
        </xsd:restriction>
      </xsd:simpleType>
    </xsd:element>
    <xsd:element name="DocumentAction" ma:index="34" nillable="true" ma:displayName="DocumentAction" ma:internalName="DocumentAction">
      <xsd:simpleType>
        <xsd:restriction base="dms:Text">
          <xsd:maxLength value="255"/>
        </xsd:restriction>
      </xsd:simpleType>
    </xsd:element>
    <xsd:element name="IsHidden" ma:index="35" nillable="true" ma:displayName="IsHidden" ma:default="0" ma:internalName="IsHidden">
      <xsd:simpleType>
        <xsd:restriction base="dms:Boolean"/>
      </xsd:simpleType>
    </xsd:element>
    <xsd:element name="TemplateDocVersion" ma:index="36" nillable="true" ma:displayName="TemplateDocVersion" ma:internalName="TemplateDocVersion">
      <xsd:simpleType>
        <xsd:restriction base="dms:Text">
          <xsd:maxLength value="255"/>
        </xsd:restriction>
      </xsd:simpleType>
    </xsd:element>
    <xsd:element name="SequenceNum" ma:index="37" nillable="true" ma:displayName="SequenceNum" ma:internalName="SequenceNum">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4117c50-33ca-4e49-9a5c-4b51d291b3ff" ContentTypeId="0x01010054E0FEF4951F9D49A6F48A35419983C7" PreviousValue="false"/>
</file>

<file path=customXml/itemProps1.xml><?xml version="1.0" encoding="utf-8"?>
<ds:datastoreItem xmlns:ds="http://schemas.openxmlformats.org/officeDocument/2006/customXml" ds:itemID="{B171B5B0-7FB8-4200-A058-24D0329E1EDC}">
  <ds:schemaRefs>
    <ds:schemaRef ds:uri="http://schemas.microsoft.com/sharepoint/v3/contenttype/forms"/>
  </ds:schemaRefs>
</ds:datastoreItem>
</file>

<file path=customXml/itemProps2.xml><?xml version="1.0" encoding="utf-8"?>
<ds:datastoreItem xmlns:ds="http://schemas.openxmlformats.org/officeDocument/2006/customXml" ds:itemID="{4A4C2039-6711-4D35-8ADE-AB4BE36604E8}">
  <ds:schemaRefs>
    <ds:schemaRef ds:uri="http://purl.org/dc/dcmitype/"/>
    <ds:schemaRef ds:uri="ac8e30ca-65e9-4041-b86a-4d1b6d416c33"/>
    <ds:schemaRef ds:uri="http://purl.org/dc/terms/"/>
    <ds:schemaRef ds:uri="fb6f0dd5-0349-47c8-82f6-4423e71a7ac1"/>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82B16C5-941E-4DCB-822D-E937F8CBF943}"/>
</file>

<file path=customXml/itemProps4.xml><?xml version="1.0" encoding="utf-8"?>
<ds:datastoreItem xmlns:ds="http://schemas.openxmlformats.org/officeDocument/2006/customXml" ds:itemID="{21E21301-CEC4-415B-8C06-6B7C8B4A8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Target catchments</vt:lpstr>
      <vt:lpstr>Covid Impact Assessment</vt:lpstr>
      <vt:lpstr>Revenue and Cost Build-Up</vt:lpstr>
      <vt:lpstr>VlookUp</vt:lpstr>
      <vt:lpstr>month</vt:lpstr>
      <vt:lpstr>months</vt:lpstr>
      <vt:lpstr>'Covid Impact Assessment'!Print_Area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 Financial Impact Assessment Tool for WSPs</dc:title>
  <dc:creator>Josses Mugabi</dc:creator>
  <cp:lastModifiedBy>Aileen B. Castro</cp:lastModifiedBy>
  <cp:lastPrinted>2020-04-22T15:50:53Z</cp:lastPrinted>
  <dcterms:created xsi:type="dcterms:W3CDTF">2019-05-04T14:21:25Z</dcterms:created>
  <dcterms:modified xsi:type="dcterms:W3CDTF">2020-06-16T19:28:58Z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0x01010054E0FEF4951F9D49A6F48A35419983C700C5AFB85B3DBACF448E10A0B813637CDD</vt:lpwstr>
  </property>
  <property fmtid="{D5CDD505-2E9C-101B-9397-08002B2CF9AE}" pid="6" name="WbDocsObjectId">
    <vt:lpwstr/>
  </property>
  <property fmtid="{D5CDD505-2E9C-101B-9397-08002B2CF9AE}" pid="7" name="RatedBy">
    <vt:lpwstr/>
  </property>
  <property fmtid="{D5CDD505-2E9C-101B-9397-08002B2CF9AE}" pid="8" name="IsDocumentTagged">
    <vt:lpwstr/>
  </property>
  <property fmtid="{D5CDD505-2E9C-101B-9397-08002B2CF9AE}" pid="10" name="LikedBy">
    <vt:lpwstr/>
  </property>
</Properties>
</file>